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202300"/>
  <mc:AlternateContent xmlns:mc="http://schemas.openxmlformats.org/markup-compatibility/2006">
    <mc:Choice Requires="x15">
      <x15ac:absPath xmlns:x15ac="http://schemas.microsoft.com/office/spreadsheetml/2010/11/ac" url="C:\Users\DRVA\Downloads\"/>
    </mc:Choice>
  </mc:AlternateContent>
  <xr:revisionPtr revIDLastSave="0" documentId="13_ncr:1_{6B0A39AF-9ABF-4011-8CB7-831D511E380E}" xr6:coauthVersionLast="47" xr6:coauthVersionMax="47" xr10:uidLastSave="{00000000-0000-0000-0000-000000000000}"/>
  <bookViews>
    <workbookView xWindow="-120" yWindow="-120" windowWidth="38640" windowHeight="21120" xr2:uid="{39E4F825-10E3-439A-B7CD-F092F91F1C32}"/>
  </bookViews>
  <sheets>
    <sheet name="Feuil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4" i="1" l="1" a="1"/>
  <c r="J84" i="1" s="1"/>
  <c r="J82" i="1" a="1"/>
  <c r="J82" i="1" s="1"/>
  <c r="J80" i="1" a="1"/>
  <c r="J80" i="1" s="1"/>
  <c r="J78" i="1" a="1"/>
  <c r="J78" i="1" s="1"/>
  <c r="J76" i="1" a="1"/>
  <c r="J76" i="1" s="1"/>
  <c r="J74" i="1" a="1"/>
  <c r="J74" i="1" s="1"/>
  <c r="J72" i="1" a="1"/>
  <c r="J72" i="1" s="1"/>
  <c r="J70" i="1" a="1"/>
  <c r="J70" i="1" s="1"/>
  <c r="J68" i="1" a="1"/>
  <c r="J68" i="1" s="1"/>
  <c r="J44" i="1"/>
  <c r="J43" i="1"/>
  <c r="J53" i="1" a="1"/>
  <c r="J53" i="1" s="1"/>
  <c r="G37" i="1" s="1"/>
  <c r="H53" i="1" a="1"/>
  <c r="H53" i="1" s="1"/>
  <c r="J52" i="1" a="1"/>
  <c r="J52" i="1" s="1"/>
  <c r="J50" i="1" a="1"/>
  <c r="J50" i="1" s="1"/>
  <c r="J99" i="1" a="1"/>
  <c r="J99" i="1" s="1"/>
  <c r="J98" i="1" a="1"/>
  <c r="J98" i="1" s="1"/>
  <c r="J97" i="1"/>
  <c r="J96" i="1"/>
  <c r="J95" i="1" a="1"/>
  <c r="J95" i="1" s="1"/>
  <c r="J94" i="1" a="1"/>
  <c r="J94" i="1" s="1"/>
  <c r="H94" i="1" a="1"/>
  <c r="H94" i="1" s="1"/>
  <c r="J89" i="1" a="1"/>
  <c r="J89" i="1" s="1"/>
  <c r="H89" i="1" a="1"/>
  <c r="H89" i="1" s="1"/>
  <c r="J88" i="1" a="1"/>
  <c r="J88" i="1" s="1"/>
  <c r="H88" i="1" a="1"/>
  <c r="H88" i="1" s="1"/>
  <c r="J87" i="1" a="1"/>
  <c r="J87" i="1" s="1"/>
  <c r="J86" i="1" a="1"/>
  <c r="J86" i="1" s="1"/>
  <c r="J92" i="1"/>
  <c r="J91" i="1" a="1"/>
  <c r="J91" i="1" s="1"/>
  <c r="J85" i="1" a="1"/>
  <c r="J85" i="1" s="1"/>
  <c r="H91" i="1" a="1"/>
  <c r="H91" i="1" s="1"/>
  <c r="J90" i="1" a="1"/>
  <c r="J90" i="1" s="1"/>
  <c r="H90" i="1" a="1"/>
  <c r="H90" i="1" s="1"/>
  <c r="H85" i="1" a="1"/>
  <c r="H85" i="1" s="1"/>
  <c r="J83" i="1" a="1"/>
  <c r="J83" i="1" s="1"/>
  <c r="J81" i="1" a="1"/>
  <c r="J81" i="1" s="1"/>
  <c r="J79" i="1" a="1"/>
  <c r="J79" i="1" s="1"/>
  <c r="J77" i="1" a="1"/>
  <c r="J77" i="1" s="1"/>
  <c r="J75" i="1" a="1"/>
  <c r="J75" i="1" s="1"/>
  <c r="J73" i="1" a="1"/>
  <c r="J73" i="1" s="1"/>
  <c r="J71" i="1" a="1"/>
  <c r="J71" i="1" s="1"/>
  <c r="H83" i="1" a="1"/>
  <c r="H83" i="1" s="1"/>
  <c r="H81" i="1" a="1"/>
  <c r="H81" i="1" s="1"/>
  <c r="H79" i="1" a="1"/>
  <c r="H79" i="1" s="1"/>
  <c r="H77" i="1" a="1"/>
  <c r="H77" i="1" s="1"/>
  <c r="H75" i="1" a="1"/>
  <c r="H75" i="1" s="1"/>
  <c r="H73" i="1" a="1"/>
  <c r="H73" i="1" s="1"/>
  <c r="H71" i="1" a="1"/>
  <c r="H71" i="1" s="1"/>
  <c r="J69" i="1" l="1" a="1"/>
  <c r="J69" i="1" s="1"/>
  <c r="H69" i="1" a="1"/>
  <c r="H69" i="1" s="1"/>
  <c r="J67" i="1" a="1"/>
  <c r="J67" i="1" s="1"/>
  <c r="H67" i="1" a="1"/>
  <c r="H67" i="1" s="1"/>
  <c r="J66" i="1" a="1"/>
  <c r="J66" i="1" s="1"/>
  <c r="J64" i="1"/>
  <c r="J63" i="1" a="1"/>
  <c r="J63" i="1" s="1"/>
  <c r="J62" i="1" a="1"/>
  <c r="J62" i="1" s="1"/>
  <c r="H63" i="1" a="1"/>
  <c r="H63" i="1" s="1"/>
  <c r="H62" i="1" a="1"/>
  <c r="H62" i="1" s="1"/>
  <c r="J61" i="1"/>
  <c r="J60" i="1" a="1"/>
  <c r="J60" i="1" s="1"/>
  <c r="H60" i="1" a="1"/>
  <c r="H60" i="1" s="1"/>
  <c r="J59" i="1" a="1"/>
  <c r="J59" i="1" s="1"/>
  <c r="H59" i="1" a="1"/>
  <c r="H59" i="1" s="1"/>
  <c r="J58" i="1"/>
  <c r="J57" i="1"/>
  <c r="J56" i="1"/>
  <c r="J51" i="1" a="1"/>
  <c r="J51" i="1" s="1"/>
  <c r="J49" i="1"/>
  <c r="J48" i="1"/>
  <c r="J47" i="1"/>
  <c r="J46" i="1"/>
  <c r="J45" i="1"/>
  <c r="J42"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<sst xmlns="http://schemas.openxmlformats.org/spreadsheetml/2006/main" count="270" uniqueCount="138">
  <si>
    <t>Commune de Mondercange 
18, rue Arthur Thinnes L-3919 Mondercange - BP 50 L-3901 Mondercange</t>
  </si>
  <si>
    <t>Détermination de la valeur Ehm</t>
  </si>
  <si>
    <t>Il est certifié que les informations renseignées ci-dessus sont exactes</t>
  </si>
  <si>
    <t>Localité</t>
  </si>
  <si>
    <t>date</t>
  </si>
  <si>
    <t>Nom de la société / de l'organisme / de l'institution</t>
  </si>
  <si>
    <t>N° Client</t>
  </si>
  <si>
    <t>Nom du responsable (contact)</t>
  </si>
  <si>
    <t>Adresse de correspondance</t>
  </si>
  <si>
    <t>N° et Rue</t>
  </si>
  <si>
    <t>Code postal / Localité</t>
  </si>
  <si>
    <t>E-mail</t>
  </si>
  <si>
    <t>Téléphone</t>
  </si>
  <si>
    <r>
      <rPr>
        <b/>
        <sz val="14"/>
        <color theme="1"/>
        <rFont val="Aptos Narrow"/>
        <family val="2"/>
        <scheme val="minor"/>
      </rPr>
      <t>Ehm à appliquer</t>
    </r>
    <r>
      <rPr>
        <sz val="11"/>
        <color theme="1"/>
        <rFont val="Aptos Narrow"/>
        <family val="2"/>
        <scheme val="minor"/>
      </rPr>
      <t xml:space="preserve"> (selon les calculs ci-après)</t>
    </r>
  </si>
  <si>
    <t>II : Activités publiques et collectives</t>
  </si>
  <si>
    <t>Calcul Ehm</t>
  </si>
  <si>
    <t>Capacité autorisée</t>
  </si>
  <si>
    <t>Hôpital, clinique, maison de soins</t>
  </si>
  <si>
    <t>Centres intégrés pour personnes âgées</t>
  </si>
  <si>
    <t>Crèche, école</t>
  </si>
  <si>
    <t>Internat</t>
  </si>
  <si>
    <t>Cantine scolaire, maison relais</t>
  </si>
  <si>
    <t>Piscine à l'air libre</t>
  </si>
  <si>
    <t>Lits</t>
  </si>
  <si>
    <t>Enfants</t>
  </si>
  <si>
    <t xml:space="preserve">Enfants </t>
  </si>
  <si>
    <t>Chaises</t>
  </si>
  <si>
    <t>Visiteurs</t>
  </si>
  <si>
    <r>
      <t>M</t>
    </r>
    <r>
      <rPr>
        <vertAlign val="superscript"/>
        <sz val="11"/>
        <color theme="1"/>
        <rFont val="Aptos Narrow"/>
        <family val="2"/>
        <scheme val="minor"/>
      </rPr>
      <t>2</t>
    </r>
  </si>
  <si>
    <t>Centre polyvalent, salle de spectacle, centre sportif</t>
  </si>
  <si>
    <t>Lieu de culte</t>
  </si>
  <si>
    <t>III : Hôtellerie, restauration et tourisme</t>
  </si>
  <si>
    <t>Gîte rural</t>
  </si>
  <si>
    <t>Emplacements</t>
  </si>
  <si>
    <t>Restaurant</t>
  </si>
  <si>
    <t>Café, salon de consommation</t>
  </si>
  <si>
    <t>&lt; 25 chaises</t>
  </si>
  <si>
    <t>&lt; 50 chaises</t>
  </si>
  <si>
    <t>≥ 50 chaises</t>
  </si>
  <si>
    <r>
      <t>M</t>
    </r>
    <r>
      <rPr>
        <vertAlign val="superscript"/>
        <sz val="11"/>
        <color theme="1"/>
        <rFont val="Aptos Narrow"/>
        <family val="2"/>
        <scheme val="minor"/>
      </rPr>
      <t>2</t>
    </r>
    <r>
      <rPr>
        <sz val="11"/>
        <color theme="1"/>
        <rFont val="Aptos Narrow"/>
        <family val="2"/>
        <scheme val="minor"/>
      </rPr>
      <t xml:space="preserve"> de surface</t>
    </r>
  </si>
  <si>
    <t>Administration, bureau, guichet, assurance, cabinet médical, cabinet de notaire ou autre service</t>
  </si>
  <si>
    <t xml:space="preserve">ou : </t>
  </si>
  <si>
    <t>≤ 10 salariés*</t>
  </si>
  <si>
    <t>&gt; 10 salariés *</t>
  </si>
  <si>
    <t>Pers. Occupées</t>
  </si>
  <si>
    <t>Commerce (sans production) : 
Grande surface, épicerie, point de vente alimentaire, magasin, boutique</t>
  </si>
  <si>
    <t>Salon de coiffure</t>
  </si>
  <si>
    <t>Nettoyage à sec</t>
  </si>
  <si>
    <t>Garage, atelier de réparation de véhicules automoteurs</t>
  </si>
  <si>
    <t>Atelier mécanique, vente de pneus</t>
  </si>
  <si>
    <t xml:space="preserve">Boucherie, poissonnerie, boulangerie, pâtisserie (site de productionavec vente) </t>
  </si>
  <si>
    <t>IV : Activités artisanales et commerciales</t>
  </si>
  <si>
    <t>Mazout et combustibles</t>
  </si>
  <si>
    <t>Installation de lavage de voitures</t>
  </si>
  <si>
    <t>Distilleries d'alcool, vinaigrerie</t>
  </si>
  <si>
    <t>Litres d'alcool / vinaigre pur produits par an</t>
  </si>
  <si>
    <r>
      <t>Piscine couverte (</t>
    </r>
    <r>
      <rPr>
        <b/>
        <sz val="11"/>
        <color theme="1"/>
        <rFont val="Aptos Narrow"/>
        <family val="2"/>
        <scheme val="minor"/>
      </rPr>
      <t>avec ou sans sauna</t>
    </r>
    <r>
      <rPr>
        <sz val="11"/>
        <color theme="1"/>
        <rFont val="Aptos Narrow"/>
        <family val="2"/>
        <scheme val="minor"/>
      </rPr>
      <t>)</t>
    </r>
  </si>
  <si>
    <r>
      <t>Hôtel et auberge
(</t>
    </r>
    <r>
      <rPr>
        <b/>
        <sz val="11"/>
        <color theme="1"/>
        <rFont val="Aptos Narrow"/>
        <family val="2"/>
        <scheme val="minor"/>
      </rPr>
      <t>sans l'activité gastronomique</t>
    </r>
    <r>
      <rPr>
        <sz val="11"/>
        <color theme="1"/>
        <rFont val="Aptos Narrow"/>
        <family val="2"/>
        <scheme val="minor"/>
      </rPr>
      <t>)</t>
    </r>
  </si>
  <si>
    <r>
      <t>Camping 
(</t>
    </r>
    <r>
      <rPr>
        <b/>
        <sz val="11"/>
        <color theme="1"/>
        <rFont val="Aptos Narrow"/>
        <family val="2"/>
        <scheme val="minor"/>
      </rPr>
      <t>sans l'activité gastronomique, sans piscine</t>
    </r>
    <r>
      <rPr>
        <sz val="11"/>
        <color theme="1"/>
        <rFont val="Aptos Narrow"/>
        <family val="2"/>
        <scheme val="minor"/>
      </rPr>
      <t>)</t>
    </r>
  </si>
  <si>
    <t>Nom du signataire / Cachet de la société</t>
  </si>
  <si>
    <t>Signature</t>
  </si>
  <si>
    <t>Station-service (avec ou sans shop)</t>
  </si>
  <si>
    <t>Laboratoire</t>
  </si>
  <si>
    <t>Buanderie</t>
  </si>
  <si>
    <t>Hall de stockage</t>
  </si>
  <si>
    <t>Lieu non occupé</t>
  </si>
  <si>
    <t>Tonne de linge traité par an</t>
  </si>
  <si>
    <t>Administration, commerce, boutique du secteur agricole</t>
  </si>
  <si>
    <t>Chambre à lait</t>
  </si>
  <si>
    <t>Abattage régulier (poids vif &gt; 10 t)</t>
  </si>
  <si>
    <t>Production de vin (à partir de raisins)</t>
  </si>
  <si>
    <t>Production de vin (à partirde moûts de raisin)</t>
  </si>
  <si>
    <t>chambres</t>
  </si>
  <si>
    <t>Locaux d'abattage</t>
  </si>
  <si>
    <r>
      <t xml:space="preserve">Abattage occasionnel (poids vif </t>
    </r>
    <r>
      <rPr>
        <sz val="11"/>
        <color theme="1"/>
        <rFont val="Aptos Narrow"/>
        <family val="2"/>
      </rPr>
      <t>≤</t>
    </r>
    <r>
      <rPr>
        <sz val="11"/>
        <color theme="1"/>
        <rFont val="Aptos Narrow"/>
        <family val="2"/>
        <scheme val="minor"/>
      </rPr>
      <t xml:space="preserve"> 10 t)</t>
    </r>
  </si>
  <si>
    <t>hl de vin produit</t>
  </si>
  <si>
    <t xml:space="preserve">Traitement de données à caractère personnel </t>
  </si>
  <si>
    <t>Le traitement des données à caractère personnel réalisé par la commune de Mondercange (qui se définit alors comme le responsable de traitement) a pour seule finalité de lui permettre de mener à bien les missions légales dont elle est responsable. 
La commune s’engage à recueillir les données personnelles en toute confidentialité et d'une manière sécurisée conformément aux dispositions du Règlement (UE) 2016/679 relatif à la protection des personnes physiques à l'égard du traitement des données à caractère personnel et à la libre circulation de ces données.
Les données personnelles sont conservées pendant 10 années et peuvent être consultées par la personne concernée si elle en fait la demande. 
La personne concernée dispose notamment et conformément aux cas prévus par le règlement au droit à l’accès, à la rectification, à la limitation ou à l’effacement de ces données (hormis les traitements dont la base légale correspond à une obligation légale ou une mesure contractuelle conformément au règlement précédemment cité) collectées pour ce traitement spécifique.
Toutes les réclamations, demandes d’informations, de retrait, de rectification ou de consultation des données détenues par la commune de Mondercange constituant des données à caractère personnel sont à adresser au Délégué à la Protection des Données à : Commune de Mondercange - 18, rue Arthur Thinnes L-3901 Mondercange ou par mail à gdpr@mondercange.lu.</t>
  </si>
  <si>
    <t>Tableau des EH moyens annuels</t>
  </si>
  <si>
    <t>I : Population résidente</t>
  </si>
  <si>
    <t>Groupe ou activité</t>
  </si>
  <si>
    <t>Charge polluante moyenne annuelle (EHm)</t>
  </si>
  <si>
    <t>Population résidente</t>
  </si>
  <si>
    <r>
      <t xml:space="preserve">EHm / </t>
    </r>
    <r>
      <rPr>
        <sz val="9"/>
        <color rgb="FF0070C0"/>
        <rFont val="Arial"/>
        <family val="2"/>
      </rPr>
      <t>unité d’habitation</t>
    </r>
    <r>
      <rPr>
        <i/>
        <sz val="9"/>
        <color rgb="FF000000"/>
        <rFont val="Arial"/>
        <family val="2"/>
      </rPr>
      <t xml:space="preserve"> (maison unifam. ou </t>
    </r>
  </si>
  <si>
    <r>
      <t xml:space="preserve">EHm / lit </t>
    </r>
    <r>
      <rPr>
        <sz val="9"/>
        <color rgb="FF0070C0"/>
        <rFont val="Arial"/>
        <family val="2"/>
      </rPr>
      <t>selon capacité autorisée</t>
    </r>
  </si>
  <si>
    <r>
      <t xml:space="preserve">EHm / enfant </t>
    </r>
    <r>
      <rPr>
        <sz val="9"/>
        <color rgb="FF0070C0"/>
        <rFont val="Arial"/>
        <family val="2"/>
      </rPr>
      <t>selon capacité autorisée</t>
    </r>
  </si>
  <si>
    <r>
      <t xml:space="preserve">EHm / chaise </t>
    </r>
    <r>
      <rPr>
        <sz val="9"/>
        <color rgb="FF0070C0"/>
        <rFont val="Arial"/>
        <family val="2"/>
      </rPr>
      <t>selon capacité autorisée</t>
    </r>
  </si>
  <si>
    <r>
      <t>Piscine couverte (</t>
    </r>
    <r>
      <rPr>
        <i/>
        <sz val="9"/>
        <color rgb="FF0070C0"/>
        <rFont val="Arial"/>
        <family val="2"/>
      </rPr>
      <t xml:space="preserve">avec ou sans sauna </t>
    </r>
    <r>
      <rPr>
        <sz val="9"/>
        <color rgb="FF000000"/>
        <rFont val="Arial"/>
        <family val="2"/>
      </rPr>
      <t>)</t>
    </r>
  </si>
  <si>
    <r>
      <t xml:space="preserve">EHm / visiteurs </t>
    </r>
    <r>
      <rPr>
        <sz val="9"/>
        <color rgb="FF0070C0"/>
        <rFont val="Arial"/>
        <family val="2"/>
      </rPr>
      <t>selon capacité autorisée</t>
    </r>
  </si>
  <si>
    <t>Piscine à l’air libre</t>
  </si>
  <si>
    <r>
      <t>EHm / tranche entamée de 100 m</t>
    </r>
    <r>
      <rPr>
        <vertAlign val="superscript"/>
        <sz val="9"/>
        <color rgb="FF000000"/>
        <rFont val="Arial"/>
        <family val="2"/>
      </rPr>
      <t>2</t>
    </r>
    <r>
      <rPr>
        <sz val="9"/>
        <color rgb="FF000000"/>
        <rFont val="Arial"/>
        <family val="2"/>
      </rPr>
      <t xml:space="preserve"> de surface </t>
    </r>
  </si>
  <si>
    <t>EHm / lieu de culte</t>
  </si>
  <si>
    <r>
      <t>Hôtel et auberge (</t>
    </r>
    <r>
      <rPr>
        <i/>
        <sz val="9"/>
        <color rgb="FF0070C0"/>
        <rFont val="Arial"/>
        <family val="2"/>
      </rPr>
      <t xml:space="preserve">sans l’activité gastronomique </t>
    </r>
    <r>
      <rPr>
        <sz val="9"/>
        <color rgb="FF000000"/>
        <rFont val="Arial"/>
        <family val="2"/>
      </rPr>
      <t>)</t>
    </r>
  </si>
  <si>
    <t>EHm / gîte</t>
  </si>
  <si>
    <r>
      <t>Camping (</t>
    </r>
    <r>
      <rPr>
        <i/>
        <sz val="9"/>
        <color rgb="FF0070C0"/>
        <rFont val="Arial"/>
        <family val="2"/>
      </rPr>
      <t xml:space="preserve">sans l’activité gastronomique, sans piscine </t>
    </r>
    <r>
      <rPr>
        <sz val="9"/>
        <color rgb="FF000000"/>
        <rFont val="Arial"/>
        <family val="2"/>
      </rPr>
      <t>)</t>
    </r>
  </si>
  <si>
    <r>
      <t xml:space="preserve">EHm / emplacement </t>
    </r>
    <r>
      <rPr>
        <sz val="9"/>
        <color rgb="FF0070C0"/>
        <rFont val="Arial"/>
        <family val="2"/>
      </rPr>
      <t>selon capacité autorisée</t>
    </r>
  </si>
  <si>
    <t>EHm / établissement</t>
  </si>
  <si>
    <r>
      <t xml:space="preserve">Administration, bureau, guichet, assurance, banque, cabinet médical, cabinet de notaire </t>
    </r>
    <r>
      <rPr>
        <i/>
        <sz val="9"/>
        <color rgb="FF0070C0"/>
        <rFont val="Arial"/>
        <family val="2"/>
      </rPr>
      <t>ou autre service</t>
    </r>
  </si>
  <si>
    <r>
      <t>EHm / tranche entamée de 150 m</t>
    </r>
    <r>
      <rPr>
        <vertAlign val="superscript"/>
        <sz val="9"/>
        <color rgb="FF000000"/>
        <rFont val="Arial"/>
        <family val="2"/>
      </rPr>
      <t>2</t>
    </r>
    <r>
      <rPr>
        <sz val="9"/>
        <color rgb="FF000000"/>
        <rFont val="Arial"/>
        <family val="2"/>
      </rPr>
      <t xml:space="preserve"> de surface</t>
    </r>
  </si>
  <si>
    <t>ou :</t>
  </si>
  <si>
    <t>≤ 10 salariés *</t>
  </si>
  <si>
    <t>EHm / commerce</t>
  </si>
  <si>
    <t xml:space="preserve">EHm / tranche entamée de 5 personnes </t>
  </si>
  <si>
    <r>
      <t>Commerce (</t>
    </r>
    <r>
      <rPr>
        <i/>
        <sz val="9"/>
        <color rgb="FF0070C0"/>
        <rFont val="Arial"/>
        <family val="2"/>
      </rPr>
      <t>sans production</t>
    </r>
    <r>
      <rPr>
        <sz val="9"/>
        <color rgb="FF000000"/>
        <rFont val="Arial"/>
        <family val="2"/>
      </rPr>
      <t>) :</t>
    </r>
  </si>
  <si>
    <t>Grande surface, épicerie, point de vente alimentaire, magasin, boutique</t>
  </si>
  <si>
    <t>EHm / tranche entamée de 5 personnes occupées</t>
  </si>
  <si>
    <r>
      <t>Boucherie, poissonnerie, boulangerie, pâtisserie (</t>
    </r>
    <r>
      <rPr>
        <sz val="9"/>
        <color rgb="FF0070C0"/>
        <rFont val="Arial"/>
        <family val="2"/>
      </rPr>
      <t>site de production avec vente</t>
    </r>
    <r>
      <rPr>
        <sz val="9"/>
        <color rgb="FF000000"/>
        <rFont val="Arial"/>
        <family val="2"/>
      </rPr>
      <t>)</t>
    </r>
  </si>
  <si>
    <t>EHm / salon</t>
  </si>
  <si>
    <t>EHm / entreprise</t>
  </si>
  <si>
    <r>
      <t>Entreprise de transport de marchandises et de construction (</t>
    </r>
    <r>
      <rPr>
        <sz val="9"/>
        <color rgb="FF0070C0"/>
        <rFont val="Arial"/>
        <family val="2"/>
      </rPr>
      <t>avec dépôt</t>
    </r>
    <r>
      <rPr>
        <sz val="9"/>
        <color rgb="FF000000"/>
        <rFont val="Arial"/>
        <family val="2"/>
      </rPr>
      <t>)</t>
    </r>
  </si>
  <si>
    <t xml:space="preserve">Artisanat, menuisier, électricien, carreleur, peintre, plombier, installateur sanitaire, </t>
  </si>
  <si>
    <t>charpentier (avec dépôt)</t>
  </si>
  <si>
    <r>
      <t>Station service (</t>
    </r>
    <r>
      <rPr>
        <i/>
        <sz val="9"/>
        <color rgb="FF0070C0"/>
        <rFont val="Arial"/>
        <family val="2"/>
      </rPr>
      <t>avec shop</t>
    </r>
    <r>
      <rPr>
        <sz val="9"/>
        <color rgb="FF000000"/>
        <rFont val="Arial"/>
        <family val="2"/>
      </rPr>
      <t>)</t>
    </r>
  </si>
  <si>
    <t>EHm / station</t>
  </si>
  <si>
    <t>EHm / installation</t>
  </si>
  <si>
    <t>Distilleries d’alcool, vinaigrerie</t>
  </si>
  <si>
    <r>
      <t xml:space="preserve">EHm / tranche entamée de 1000 l d’alcool ou de vinaigre pur </t>
    </r>
    <r>
      <rPr>
        <sz val="9"/>
        <color rgb="FF0070C0"/>
        <rFont val="Arial"/>
        <family val="2"/>
      </rPr>
      <t>produits</t>
    </r>
    <r>
      <rPr>
        <sz val="9"/>
        <color rgb="FF000000"/>
        <rFont val="Arial"/>
        <family val="2"/>
      </rPr>
      <t xml:space="preserve"> par an</t>
    </r>
  </si>
  <si>
    <t>V : Activités agricoles</t>
  </si>
  <si>
    <t>Abattage occasionnel (poids vif ≤ 10 t)</t>
  </si>
  <si>
    <t>EHm / chambre</t>
  </si>
  <si>
    <t>EHm / local d'abattage</t>
  </si>
  <si>
    <t>suivant mesures</t>
  </si>
  <si>
    <t>EHm / tranche entammée de 100 hl de vin produits par an</t>
  </si>
  <si>
    <r>
      <t>EHm / tranche entamée de 100 m</t>
    </r>
    <r>
      <rPr>
        <vertAlign val="superscript"/>
        <sz val="9"/>
        <color rgb="FF000000"/>
        <rFont val="Arial"/>
        <family val="2"/>
      </rPr>
      <t>2</t>
    </r>
    <r>
      <rPr>
        <sz val="9"/>
        <color rgb="FF000000"/>
        <rFont val="Arial"/>
        <family val="2"/>
      </rPr>
      <t xml:space="preserve"> de surface</t>
    </r>
  </si>
  <si>
    <t>EHm / tranche entamée de 100 t de linge traité par an</t>
  </si>
  <si>
    <t>EHm / hall</t>
  </si>
  <si>
    <t>EHm / lieu</t>
  </si>
  <si>
    <t>Foyer de jour pour personnes agées</t>
  </si>
  <si>
    <t>Pers. Prise en charge</t>
  </si>
  <si>
    <t>Cinéma, théâtre</t>
  </si>
  <si>
    <t>Places</t>
  </si>
  <si>
    <t>Centre de fitness</t>
  </si>
  <si>
    <t>Entreprise de transport de marchandises et de construction (avec ou sans dépôt)</t>
  </si>
  <si>
    <t>Artisanat, menuisier, électricien, carreleur, peintre, plombier, installateur sanitaire, charpentier (avec ou sans dépôt)</t>
  </si>
  <si>
    <t>EHm / tranche entamée de 100 places</t>
  </si>
  <si>
    <t xml:space="preserve"> , le</t>
  </si>
  <si>
    <r>
      <t>Formulaire électronique disponible via ce lien "</t>
    </r>
    <r>
      <rPr>
        <i/>
        <sz val="11"/>
        <color theme="1"/>
        <rFont val="Aptos Narrow"/>
        <family val="2"/>
        <scheme val="minor"/>
      </rPr>
      <t>www.mondercange.lu/citoyens/demarches-administratives/formulaires</t>
    </r>
    <r>
      <rPr>
        <sz val="11"/>
        <color theme="1"/>
        <rFont val="Aptos Narrow"/>
        <family val="2"/>
        <scheme val="minor"/>
      </rPr>
      <t xml:space="preserve">"
En cas de questions, prière de contacter Mme Karin Lulling ou Mme Nora Klein du service financier : </t>
    </r>
  </si>
  <si>
    <t>Tél : 55 05 74 - 480                    Mail : finances@mondercange.lu 
Tél : 55 05 74 - 482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</si>
</sst>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ptos Narrow"/>
      <family val="2"/>
      <scheme val="minor"/>
    </font>
    <font>
      <b/>
      <sz val="11"/>
      <color theme="1"/>
      <name val="Aptos Narrow"/>
      <family val="2"/>
      <scheme val="minor"/>
    </font>
    <font>
      <sz val="16"/>
      <color theme="1"/>
      <name val="Aptos Narrow"/>
      <family val="2"/>
      <scheme val="minor"/>
    </font>
    <font>
      <i/>
      <sz val="11"/>
      <color theme="1"/>
      <name val="Aptos Narrow"/>
      <family val="2"/>
      <scheme val="minor"/>
    </font>
    <font>
      <b/>
      <sz val="14"/>
      <color theme="1"/>
      <name val="Aptos Narrow"/>
      <family val="2"/>
      <scheme val="minor"/>
    </font>
    <font>
      <sz val="8"/>
      <color theme="1"/>
      <name val="Aptos Narrow"/>
      <family val="2"/>
      <scheme val="minor"/>
    </font>
    <font>
      <b/>
      <sz val="18"/>
      <color theme="1"/>
      <name val="Aptos Narrow"/>
      <family val="2"/>
      <scheme val="minor"/>
    </font>
    <font>
      <vertAlign val="superscript"/>
      <sz val="11"/>
      <color theme="1"/>
      <name val="Aptos Narrow"/>
      <family val="2"/>
      <scheme val="minor"/>
    </font>
    <font>
      <sz val="11"/>
      <color theme="1"/>
      <name val="Aptos Narrow"/>
      <family val="2"/>
    </font>
    <font>
      <b/>
      <sz val="20"/>
      <color theme="1"/>
      <name val="Aptos Narrow"/>
      <family val="2"/>
      <scheme val="minor"/>
    </font>
    <font>
      <b/>
      <sz val="16"/>
      <color theme="1"/>
      <name val="Aptos Narrow"/>
      <family val="2"/>
      <scheme val="minor"/>
    </font>
    <font>
      <b/>
      <sz val="24"/>
      <color rgb="FFFFC50D"/>
      <name val="Aptos Narrow"/>
      <family val="2"/>
      <scheme val="minor"/>
    </font>
    <font>
      <b/>
      <sz val="11"/>
      <color rgb="FFFFC50D"/>
      <name val="Aptos Narrow"/>
      <family val="2"/>
      <scheme val="minor"/>
    </font>
    <font>
      <i/>
      <sz val="11"/>
      <color theme="1"/>
      <name val="Calibri"/>
      <family val="2"/>
    </font>
    <font>
      <b/>
      <sz val="13"/>
      <color rgb="FF000000"/>
      <name val="Arial"/>
      <family val="2"/>
    </font>
    <font>
      <b/>
      <sz val="9"/>
      <color rgb="FF000000"/>
      <name val="Arial"/>
      <family val="2"/>
    </font>
    <font>
      <sz val="9"/>
      <color rgb="FF000000"/>
      <name val="Arial"/>
      <family val="2"/>
    </font>
    <font>
      <sz val="9"/>
      <color rgb="FF0070C0"/>
      <name val="Arial"/>
      <family val="2"/>
    </font>
    <font>
      <i/>
      <sz val="9"/>
      <color rgb="FF000000"/>
      <name val="Arial"/>
      <family val="2"/>
    </font>
    <font>
      <i/>
      <sz val="9"/>
      <color rgb="FF0070C0"/>
      <name val="Arial"/>
      <family val="2"/>
    </font>
    <font>
      <vertAlign val="superscript"/>
      <sz val="9"/>
      <color rgb="FF000000"/>
      <name val="Arial"/>
      <family val="2"/>
    </font>
  </fonts>
  <fills count="8">
    <fill>
      <patternFill patternType="none"/>
    </fill>
    <fill>
      <patternFill patternType="gray125"/>
    </fill>
    <fill>
      <patternFill patternType="solid">
        <fgColor theme="4" tint="0.39997558519241921"/>
        <bgColor indexed="64"/>
      </patternFill>
    </fill>
    <fill>
      <patternFill patternType="solid">
        <fgColor rgb="FFFFC000"/>
        <bgColor indexed="64"/>
      </patternFill>
    </fill>
    <fill>
      <patternFill patternType="solid">
        <fgColor theme="3" tint="0.89999084444715716"/>
        <bgColor indexed="64"/>
      </patternFill>
    </fill>
    <fill>
      <patternFill patternType="solid">
        <fgColor theme="0" tint="-0.14999847407452621"/>
        <bgColor indexed="64"/>
      </patternFill>
    </fill>
    <fill>
      <patternFill patternType="solid">
        <fgColor rgb="FFFFC50D"/>
        <bgColor indexed="64"/>
      </patternFill>
    </fill>
    <fill>
      <patternFill patternType="solid">
        <fgColor rgb="FFD9D9D9"/>
        <bgColor indexed="64"/>
      </patternFill>
    </fill>
  </fills>
  <borders count="2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thick">
        <color rgb="FF000000"/>
      </left>
      <right style="thick">
        <color rgb="FF000000"/>
      </right>
      <top/>
      <bottom/>
      <diagonal/>
    </border>
    <border>
      <left style="thick">
        <color rgb="FF000000"/>
      </left>
      <right style="thick">
        <color rgb="FF000000"/>
      </right>
      <top style="thick">
        <color rgb="FF000000"/>
      </top>
      <bottom/>
      <diagonal/>
    </border>
    <border>
      <left style="thick">
        <color rgb="FF000000"/>
      </left>
      <right/>
      <top style="thick">
        <color rgb="FF000000"/>
      </top>
      <bottom/>
      <diagonal/>
    </border>
    <border>
      <left/>
      <right style="thick">
        <color rgb="FF000000"/>
      </right>
      <top style="thick">
        <color rgb="FF000000"/>
      </top>
      <bottom/>
      <diagonal/>
    </border>
    <border>
      <left style="thin">
        <color indexed="64"/>
      </left>
      <right/>
      <top/>
      <bottom style="thin">
        <color indexed="64"/>
      </bottom>
      <diagonal/>
    </border>
  </borders>
  <cellStyleXfs count="1">
    <xf numFmtId="0" fontId="0" fillId="0" borderId="0"/>
  </cellStyleXfs>
  <cellXfs count="94">
    <xf numFmtId="0" fontId="0" fillId="0" borderId="0" xfId="0"/>
    <xf numFmtId="0" fontId="0" fillId="0" borderId="0" xfId="0" applyAlignment="1">
      <alignment horizontal="center" vertical="center" wrapText="1"/>
    </xf>
    <xf numFmtId="0" fontId="0" fillId="5" borderId="10" xfId="0" applyFill="1" applyBorder="1" applyAlignment="1">
      <alignment horizontal="center" vertical="center" wrapText="1"/>
    </xf>
    <xf numFmtId="0" fontId="0" fillId="0" borderId="1" xfId="0" applyBorder="1" applyAlignment="1">
      <alignment horizontal="center" vertical="center" wrapText="1"/>
      <extLst>
        <ext xmlns:xfpb="http://schemas.microsoft.com/office/spreadsheetml/2022/featurepropertybag" uri="{C7286773-470A-42A8-94C5-96B5CB345126}">
          <xfpb:xfComplement i="0"/>
        </ext>
      </extLst>
    </xf>
    <xf numFmtId="0" fontId="0" fillId="0" borderId="1" xfId="0" applyBorder="1" applyAlignment="1">
      <alignment horizontal="center" vertical="center" wrapText="1"/>
    </xf>
    <xf numFmtId="0" fontId="1" fillId="3" borderId="1" xfId="0" applyFont="1" applyFill="1" applyBorder="1" applyAlignment="1">
      <alignment horizontal="center" vertical="center" wrapText="1"/>
    </xf>
    <xf numFmtId="0" fontId="0" fillId="5" borderId="1" xfId="0" applyFill="1" applyBorder="1" applyAlignment="1">
      <alignment horizontal="center" vertical="center" wrapText="1"/>
    </xf>
    <xf numFmtId="0" fontId="8" fillId="0" borderId="1" xfId="0" applyFont="1" applyBorder="1" applyAlignment="1">
      <alignment horizontal="center" vertical="center" wrapText="1"/>
    </xf>
    <xf numFmtId="0" fontId="5" fillId="0" borderId="0" xfId="0" applyFont="1" applyAlignment="1">
      <alignment horizontal="center" vertical="center" wrapText="1"/>
    </xf>
    <xf numFmtId="0" fontId="0" fillId="0" borderId="0" xfId="0" applyAlignment="1">
      <alignment vertical="center" wrapText="1"/>
    </xf>
    <xf numFmtId="2" fontId="0" fillId="0" borderId="1" xfId="0" applyNumberFormat="1" applyBorder="1" applyAlignment="1">
      <alignment horizontal="center" vertical="center" wrapText="1"/>
    </xf>
    <xf numFmtId="0" fontId="17" fillId="0" borderId="22"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22" xfId="0" applyFont="1" applyBorder="1" applyAlignment="1">
      <alignment horizontal="center" vertical="center" wrapText="1"/>
    </xf>
    <xf numFmtId="0" fontId="0" fillId="0" borderId="10"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0" fillId="0" borderId="1" xfId="0" applyBorder="1" applyAlignment="1" applyProtection="1">
      <alignment horizontal="center" vertical="center" wrapText="1"/>
      <protection locked="0"/>
    </xf>
    <xf numFmtId="0" fontId="0" fillId="5" borderId="1" xfId="0" applyFill="1" applyBorder="1" applyAlignment="1" applyProtection="1">
      <alignment horizontal="center" vertical="center" wrapText="1"/>
      <protection locked="0"/>
    </xf>
    <xf numFmtId="0" fontId="10" fillId="4" borderId="1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9" xfId="0" applyBorder="1" applyAlignment="1">
      <alignment horizontal="center" vertical="center" wrapText="1"/>
    </xf>
    <xf numFmtId="0" fontId="0" fillId="0" borderId="3" xfId="0" applyBorder="1" applyAlignment="1">
      <alignment horizontal="center" vertical="center" wrapText="1"/>
    </xf>
    <xf numFmtId="0" fontId="0" fillId="0" borderId="0" xfId="0" applyAlignment="1">
      <alignment horizontal="center" vertical="center" wrapText="1"/>
    </xf>
    <xf numFmtId="0" fontId="0" fillId="0" borderId="8" xfId="0" applyBorder="1" applyAlignment="1">
      <alignment horizontal="center" vertical="center" wrapText="1"/>
    </xf>
    <xf numFmtId="0" fontId="4" fillId="0" borderId="0" xfId="0" applyFont="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9" fillId="0" borderId="10" xfId="0" applyFont="1" applyBorder="1" applyAlignment="1">
      <alignment horizontal="center" vertical="center" wrapText="1"/>
    </xf>
    <xf numFmtId="0" fontId="9" fillId="0" borderId="12" xfId="0" applyFont="1" applyBorder="1" applyAlignment="1">
      <alignment horizontal="center" vertical="center" wrapText="1"/>
    </xf>
    <xf numFmtId="0" fontId="1" fillId="3" borderId="10"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0" fillId="0" borderId="15" xfId="0" applyBorder="1" applyAlignment="1">
      <alignment horizontal="center" vertical="center" wrapText="1"/>
    </xf>
    <xf numFmtId="0" fontId="0" fillId="0" borderId="28" xfId="0" applyBorder="1" applyAlignment="1">
      <alignment horizontal="left" vertical="center" wrapText="1"/>
    </xf>
    <xf numFmtId="0" fontId="0" fillId="0" borderId="15" xfId="0" applyBorder="1" applyAlignment="1">
      <alignment horizontal="left" vertical="center" wrapText="1"/>
    </xf>
    <xf numFmtId="0" fontId="0" fillId="5" borderId="10" xfId="0" applyFill="1" applyBorder="1" applyAlignment="1">
      <alignment horizontal="center" vertical="center" wrapText="1"/>
    </xf>
    <xf numFmtId="0" fontId="0" fillId="5" borderId="11" xfId="0" applyFill="1" applyBorder="1" applyAlignment="1">
      <alignment horizontal="center" vertical="center" wrapText="1"/>
    </xf>
    <xf numFmtId="0" fontId="0" fillId="5" borderId="12" xfId="0" applyFill="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5" borderId="10" xfId="0" applyFont="1" applyFill="1" applyBorder="1" applyAlignment="1">
      <alignment horizontal="center" vertical="center" wrapText="1"/>
    </xf>
    <xf numFmtId="0" fontId="1" fillId="5" borderId="12"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0" fillId="0" borderId="10"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13" fillId="6" borderId="16"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11"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16" fillId="0" borderId="18"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24" xfId="0" applyFont="1" applyBorder="1" applyAlignment="1">
      <alignment horizontal="center" vertical="center" wrapText="1"/>
    </xf>
    <xf numFmtId="0" fontId="15" fillId="7" borderId="18" xfId="0" applyFont="1" applyFill="1" applyBorder="1" applyAlignment="1">
      <alignment horizontal="center" vertical="center" wrapText="1"/>
    </xf>
    <xf numFmtId="0" fontId="15" fillId="7" borderId="19" xfId="0" applyFont="1" applyFill="1" applyBorder="1" applyAlignment="1">
      <alignment horizontal="center" vertical="center" wrapText="1"/>
    </xf>
    <xf numFmtId="0" fontId="15" fillId="7" borderId="20" xfId="0" applyFont="1" applyFill="1" applyBorder="1" applyAlignment="1">
      <alignment horizontal="center" vertical="center" wrapText="1"/>
    </xf>
    <xf numFmtId="0" fontId="15" fillId="0" borderId="18" xfId="0" applyFont="1" applyBorder="1" applyAlignment="1">
      <alignment horizontal="center" vertical="center" wrapText="1"/>
    </xf>
    <xf numFmtId="0" fontId="15" fillId="0" borderId="20" xfId="0" applyFont="1" applyBorder="1" applyAlignment="1">
      <alignment horizontal="center" vertical="center" wrapText="1"/>
    </xf>
    <xf numFmtId="0" fontId="14" fillId="0" borderId="23" xfId="0" applyFont="1" applyBorder="1" applyAlignment="1">
      <alignment horizontal="center" vertical="center"/>
    </xf>
    <xf numFmtId="0" fontId="0" fillId="0" borderId="17" xfId="0" applyBorder="1" applyAlignment="1">
      <alignment horizontal="center" vertical="center" wrapText="1"/>
    </xf>
    <xf numFmtId="0" fontId="16" fillId="0" borderId="26" xfId="0" applyFont="1" applyBorder="1" applyAlignment="1">
      <alignment horizontal="center" vertical="center" wrapText="1"/>
    </xf>
    <xf numFmtId="0" fontId="16" fillId="0" borderId="27" xfId="0" applyFont="1" applyBorder="1" applyAlignment="1">
      <alignment horizontal="center" vertical="center" wrapText="1"/>
    </xf>
    <xf numFmtId="0" fontId="0" fillId="0" borderId="0" xfId="0" applyAlignment="1">
      <alignment horizontal="left" vertical="center" wrapText="1"/>
    </xf>
  </cellXfs>
  <cellStyles count="1">
    <cellStyle name="Normal" xfId="0" builtinId="0"/>
  </cellStyles>
  <dxfs count="1">
    <dxf>
      <fill>
        <patternFill>
          <bgColor rgb="FFFFC000"/>
        </patternFill>
      </fill>
    </dxf>
  </dxfs>
  <tableStyles count="0" defaultTableStyle="TableStyleMedium2" defaultPivotStyle="PivotStyleLight16"/>
  <colors>
    <mruColors>
      <color rgb="FFFFC50D"/>
      <color rgb="FFDEA900"/>
      <color rgb="FFB48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1/relationships/FeaturePropertyBag" Target="featurePropertyBag/featurePropertyBag.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67136</xdr:colOff>
      <xdr:row>0</xdr:row>
      <xdr:rowOff>18683</xdr:rowOff>
    </xdr:from>
    <xdr:to>
      <xdr:col>4</xdr:col>
      <xdr:colOff>531427</xdr:colOff>
      <xdr:row>8</xdr:row>
      <xdr:rowOff>152365</xdr:rowOff>
    </xdr:to>
    <xdr:pic>
      <xdr:nvPicPr>
        <xdr:cNvPr id="3" name="Image 2">
          <a:extLst>
            <a:ext uri="{FF2B5EF4-FFF2-40B4-BE49-F238E27FC236}">
              <a16:creationId xmlns:a16="http://schemas.microsoft.com/office/drawing/2014/main" id="{65A5DF8F-2889-67F8-11B0-1D4AB0BE1D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136" y="18683"/>
          <a:ext cx="3582785" cy="1629556"/>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4FF-67FB-460B-9529-48D27D932635}">
  <sheetPr codeName="Feuil1"/>
  <dimension ref="A1:Q113"/>
  <sheetViews>
    <sheetView showGridLines="0" tabSelected="1" zoomScale="85" zoomScaleNormal="85" workbookViewId="0">
      <selection activeCell="P28" sqref="P28"/>
    </sheetView>
  </sheetViews>
  <sheetFormatPr baseColWidth="10" defaultColWidth="10.85546875" defaultRowHeight="15" x14ac:dyDescent="0.25"/>
  <cols>
    <col min="1" max="5" width="10.85546875" style="1"/>
    <col min="6" max="6" width="12.42578125" style="1" customWidth="1"/>
    <col min="7" max="7" width="11.28515625" style="1" customWidth="1"/>
    <col min="8" max="8" width="10.85546875" style="1"/>
    <col min="9" max="9" width="13.7109375" style="1" customWidth="1"/>
    <col min="10" max="10" width="12.28515625" style="1" bestFit="1" customWidth="1"/>
    <col min="11" max="12" width="10.85546875" style="1"/>
    <col min="13" max="13" width="26.85546875" style="1" customWidth="1"/>
    <col min="14" max="14" width="16.140625" style="1" customWidth="1"/>
    <col min="15" max="15" width="10.85546875" style="1" customWidth="1"/>
    <col min="16" max="16" width="39.28515625" style="1" customWidth="1"/>
    <col min="17" max="16384" width="10.85546875" style="1"/>
  </cols>
  <sheetData>
    <row r="1" spans="1:17" x14ac:dyDescent="0.25">
      <c r="A1" s="30"/>
      <c r="B1" s="30"/>
      <c r="C1" s="30"/>
      <c r="D1" s="30"/>
      <c r="E1" s="30"/>
      <c r="F1" s="9"/>
    </row>
    <row r="2" spans="1:17" x14ac:dyDescent="0.25">
      <c r="A2" s="30"/>
      <c r="B2" s="30"/>
      <c r="C2" s="30"/>
      <c r="D2" s="30"/>
      <c r="E2" s="30"/>
      <c r="F2" s="9"/>
    </row>
    <row r="3" spans="1:17" ht="18.399999999999999" customHeight="1" x14ac:dyDescent="0.25">
      <c r="A3" s="30"/>
      <c r="B3" s="30"/>
      <c r="C3" s="30"/>
      <c r="D3" s="30"/>
      <c r="E3" s="30"/>
      <c r="F3" s="9"/>
      <c r="M3" s="60" t="s">
        <v>76</v>
      </c>
      <c r="N3" s="60"/>
      <c r="O3" s="60"/>
      <c r="P3" s="60"/>
      <c r="Q3" s="60"/>
    </row>
    <row r="4" spans="1:17" ht="14.45" customHeight="1" x14ac:dyDescent="0.25">
      <c r="A4" s="30"/>
      <c r="B4" s="30"/>
      <c r="C4" s="30"/>
      <c r="D4" s="30"/>
      <c r="E4" s="30"/>
      <c r="F4" s="9"/>
      <c r="M4" s="90" t="s">
        <v>77</v>
      </c>
      <c r="N4" s="90"/>
      <c r="O4" s="90"/>
      <c r="P4" s="90"/>
      <c r="Q4" s="90"/>
    </row>
    <row r="5" spans="1:17" x14ac:dyDescent="0.25">
      <c r="A5" s="30"/>
      <c r="B5" s="30"/>
      <c r="C5" s="30"/>
      <c r="D5" s="30"/>
      <c r="E5" s="30"/>
      <c r="F5" s="9"/>
      <c r="M5" s="30"/>
      <c r="N5" s="30"/>
      <c r="O5" s="30"/>
      <c r="P5" s="30"/>
      <c r="Q5" s="30"/>
    </row>
    <row r="6" spans="1:17" x14ac:dyDescent="0.25">
      <c r="A6" s="30"/>
      <c r="B6" s="30"/>
      <c r="C6" s="30"/>
      <c r="D6" s="30"/>
      <c r="E6" s="30"/>
      <c r="F6" s="9"/>
      <c r="M6" s="30"/>
      <c r="N6" s="30"/>
      <c r="O6" s="30"/>
      <c r="P6" s="30"/>
      <c r="Q6" s="30"/>
    </row>
    <row r="7" spans="1:17" x14ac:dyDescent="0.25">
      <c r="A7" s="30"/>
      <c r="B7" s="30"/>
      <c r="C7" s="30"/>
      <c r="D7" s="30"/>
      <c r="E7" s="30"/>
      <c r="F7" s="9"/>
      <c r="M7" s="30"/>
      <c r="N7" s="30"/>
      <c r="O7" s="30"/>
      <c r="P7" s="30"/>
      <c r="Q7" s="30"/>
    </row>
    <row r="8" spans="1:17" x14ac:dyDescent="0.25">
      <c r="A8" s="30"/>
      <c r="B8" s="30"/>
      <c r="C8" s="30"/>
      <c r="D8" s="30"/>
      <c r="E8" s="30"/>
      <c r="F8" s="9"/>
      <c r="M8" s="30"/>
      <c r="N8" s="30"/>
      <c r="O8" s="30"/>
      <c r="P8" s="30"/>
      <c r="Q8" s="30"/>
    </row>
    <row r="9" spans="1:17" x14ac:dyDescent="0.25">
      <c r="A9" s="30"/>
      <c r="B9" s="30"/>
      <c r="C9" s="30"/>
      <c r="D9" s="30"/>
      <c r="E9" s="30"/>
      <c r="F9" s="9"/>
      <c r="M9" s="30"/>
      <c r="N9" s="30"/>
      <c r="O9" s="30"/>
      <c r="P9" s="30"/>
      <c r="Q9" s="30"/>
    </row>
    <row r="10" spans="1:17" x14ac:dyDescent="0.25">
      <c r="A10" s="9"/>
      <c r="B10" s="9"/>
      <c r="C10" s="9"/>
      <c r="D10" s="9"/>
      <c r="E10" s="9"/>
      <c r="F10" s="9"/>
      <c r="M10" s="30"/>
      <c r="N10" s="30"/>
      <c r="O10" s="30"/>
      <c r="P10" s="30"/>
      <c r="Q10" s="30"/>
    </row>
    <row r="11" spans="1:17" x14ac:dyDescent="0.25">
      <c r="A11" s="9"/>
      <c r="B11" s="9"/>
      <c r="C11" s="9"/>
      <c r="D11" s="9"/>
      <c r="E11" s="9"/>
      <c r="F11" s="9"/>
      <c r="M11" s="30"/>
      <c r="N11" s="30"/>
      <c r="O11" s="30"/>
      <c r="P11" s="30"/>
      <c r="Q11" s="30"/>
    </row>
    <row r="12" spans="1:17" ht="24" customHeight="1" x14ac:dyDescent="0.25">
      <c r="A12" s="9"/>
      <c r="B12" s="9"/>
      <c r="C12" s="9"/>
      <c r="D12" s="9"/>
      <c r="E12" s="9"/>
      <c r="F12" s="9"/>
      <c r="M12" s="30"/>
      <c r="N12" s="30"/>
      <c r="O12" s="30"/>
      <c r="P12" s="30"/>
      <c r="Q12" s="30"/>
    </row>
    <row r="13" spans="1:17" ht="15.75" thickBot="1" x14ac:dyDescent="0.3">
      <c r="M13" s="30"/>
      <c r="N13" s="30"/>
      <c r="O13" s="30"/>
      <c r="P13" s="30"/>
      <c r="Q13" s="30"/>
    </row>
    <row r="14" spans="1:17" x14ac:dyDescent="0.25">
      <c r="C14" s="70" t="s">
        <v>1</v>
      </c>
      <c r="D14" s="71"/>
      <c r="E14" s="71"/>
      <c r="F14" s="71"/>
      <c r="G14" s="71"/>
      <c r="H14" s="71"/>
      <c r="I14" s="71"/>
      <c r="J14" s="72"/>
      <c r="M14" s="30"/>
      <c r="N14" s="30"/>
      <c r="O14" s="30"/>
      <c r="P14" s="30"/>
      <c r="Q14" s="30"/>
    </row>
    <row r="15" spans="1:17" ht="15.4" customHeight="1" thickBot="1" x14ac:dyDescent="0.3">
      <c r="C15" s="73"/>
      <c r="D15" s="74"/>
      <c r="E15" s="74"/>
      <c r="F15" s="74"/>
      <c r="G15" s="74"/>
      <c r="H15" s="74"/>
      <c r="I15" s="74"/>
      <c r="J15" s="75"/>
      <c r="M15" s="30"/>
      <c r="N15" s="30"/>
      <c r="O15" s="30"/>
      <c r="P15" s="30"/>
      <c r="Q15" s="30"/>
    </row>
    <row r="16" spans="1:17" x14ac:dyDescent="0.25">
      <c r="M16" s="30"/>
      <c r="N16" s="30"/>
      <c r="O16" s="30"/>
      <c r="P16" s="30"/>
      <c r="Q16" s="30"/>
    </row>
    <row r="17" spans="3:17" ht="15.75" thickBot="1" x14ac:dyDescent="0.3">
      <c r="M17" s="30"/>
      <c r="N17" s="30"/>
      <c r="O17" s="30"/>
      <c r="P17" s="30"/>
      <c r="Q17" s="30"/>
    </row>
    <row r="18" spans="3:17" x14ac:dyDescent="0.25">
      <c r="C18" s="61" t="s">
        <v>0</v>
      </c>
      <c r="D18" s="62"/>
      <c r="E18" s="62"/>
      <c r="F18" s="62"/>
      <c r="G18" s="62"/>
      <c r="H18" s="62"/>
      <c r="I18" s="62"/>
      <c r="J18" s="63"/>
      <c r="M18" s="30"/>
      <c r="N18" s="30"/>
      <c r="O18" s="30"/>
      <c r="P18" s="30"/>
      <c r="Q18" s="30"/>
    </row>
    <row r="19" spans="3:17" x14ac:dyDescent="0.25">
      <c r="C19" s="64"/>
      <c r="D19" s="65"/>
      <c r="E19" s="65"/>
      <c r="F19" s="65"/>
      <c r="G19" s="65"/>
      <c r="H19" s="65"/>
      <c r="I19" s="65"/>
      <c r="J19" s="66"/>
      <c r="M19" s="30"/>
      <c r="N19" s="30"/>
      <c r="O19" s="30"/>
      <c r="P19" s="30"/>
      <c r="Q19" s="30"/>
    </row>
    <row r="20" spans="3:17" ht="15.75" thickBot="1" x14ac:dyDescent="0.3">
      <c r="C20" s="67"/>
      <c r="D20" s="68"/>
      <c r="E20" s="68"/>
      <c r="F20" s="68"/>
      <c r="G20" s="68"/>
      <c r="H20" s="68"/>
      <c r="I20" s="68"/>
      <c r="J20" s="69"/>
      <c r="M20" s="30"/>
      <c r="N20" s="30"/>
      <c r="O20" s="30"/>
      <c r="P20" s="30"/>
      <c r="Q20" s="30"/>
    </row>
    <row r="21" spans="3:17" x14ac:dyDescent="0.25">
      <c r="M21" s="30"/>
      <c r="N21" s="30"/>
      <c r="O21" s="30"/>
      <c r="P21" s="30"/>
      <c r="Q21" s="30"/>
    </row>
    <row r="22" spans="3:17" x14ac:dyDescent="0.25">
      <c r="C22" s="30" t="s">
        <v>136</v>
      </c>
      <c r="D22" s="30"/>
      <c r="E22" s="30"/>
      <c r="F22" s="30"/>
      <c r="G22" s="30"/>
      <c r="H22" s="30"/>
      <c r="I22" s="30"/>
      <c r="J22" s="30"/>
      <c r="M22" s="30"/>
      <c r="N22" s="30"/>
      <c r="O22" s="30"/>
      <c r="P22" s="30"/>
      <c r="Q22" s="30"/>
    </row>
    <row r="23" spans="3:17" x14ac:dyDescent="0.25">
      <c r="C23" s="30"/>
      <c r="D23" s="30"/>
      <c r="E23" s="30"/>
      <c r="F23" s="30"/>
      <c r="G23" s="30"/>
      <c r="H23" s="30"/>
      <c r="I23" s="30"/>
      <c r="J23" s="30"/>
      <c r="M23" s="30"/>
      <c r="N23" s="30"/>
      <c r="O23" s="30"/>
      <c r="P23" s="30"/>
      <c r="Q23" s="30"/>
    </row>
    <row r="24" spans="3:17" x14ac:dyDescent="0.25">
      <c r="C24" s="30"/>
      <c r="D24" s="30"/>
      <c r="E24" s="30"/>
      <c r="F24" s="30"/>
      <c r="G24" s="30"/>
      <c r="H24" s="30"/>
      <c r="I24" s="30"/>
      <c r="J24" s="30"/>
      <c r="M24" s="9"/>
      <c r="N24" s="9"/>
      <c r="O24" s="9"/>
      <c r="P24" s="9"/>
      <c r="Q24" s="9"/>
    </row>
    <row r="25" spans="3:17" ht="55.7" customHeight="1" x14ac:dyDescent="0.25">
      <c r="D25" s="9"/>
      <c r="E25" s="93" t="s">
        <v>137</v>
      </c>
      <c r="F25" s="93"/>
      <c r="G25" s="93"/>
      <c r="H25" s="93"/>
      <c r="I25" s="9"/>
      <c r="J25" s="9"/>
      <c r="M25" s="9"/>
      <c r="N25" s="9"/>
      <c r="O25" s="9"/>
      <c r="P25" s="9"/>
      <c r="Q25" s="9"/>
    </row>
    <row r="26" spans="3:17" ht="9.75" customHeight="1" x14ac:dyDescent="0.25">
      <c r="M26" s="9"/>
      <c r="N26" s="9"/>
      <c r="O26" s="9"/>
      <c r="P26" s="9"/>
      <c r="Q26" s="9"/>
    </row>
    <row r="27" spans="3:17" ht="15.75" thickBot="1" x14ac:dyDescent="0.3">
      <c r="M27" s="9"/>
      <c r="N27" s="9"/>
      <c r="O27" s="9"/>
      <c r="P27" s="9"/>
      <c r="Q27" s="9"/>
    </row>
    <row r="28" spans="3:17" ht="25.35" customHeight="1" thickBot="1" x14ac:dyDescent="0.3">
      <c r="C28" s="76" t="s">
        <v>5</v>
      </c>
      <c r="D28" s="77"/>
      <c r="E28" s="77"/>
      <c r="F28" s="77"/>
      <c r="G28" s="77"/>
      <c r="H28" s="77"/>
      <c r="I28" s="77"/>
      <c r="J28" s="78"/>
      <c r="M28" s="9"/>
      <c r="N28" s="9"/>
      <c r="O28" s="9"/>
      <c r="P28" s="9"/>
      <c r="Q28" s="9"/>
    </row>
    <row r="29" spans="3:17" ht="29.1" customHeight="1" thickBot="1" x14ac:dyDescent="0.3">
      <c r="C29" s="57"/>
      <c r="D29" s="58"/>
      <c r="E29" s="58"/>
      <c r="F29" s="58"/>
      <c r="G29" s="58"/>
      <c r="H29" s="58"/>
      <c r="I29" s="58"/>
      <c r="J29" s="59"/>
      <c r="M29" s="9"/>
      <c r="N29" s="9"/>
      <c r="O29" s="9"/>
      <c r="P29" s="9"/>
      <c r="Q29" s="9"/>
    </row>
    <row r="30" spans="3:17" ht="23.65" customHeight="1" thickBot="1" x14ac:dyDescent="0.3">
      <c r="C30" s="52" t="s">
        <v>6</v>
      </c>
      <c r="D30" s="56"/>
      <c r="E30" s="53"/>
      <c r="F30" s="57"/>
      <c r="G30" s="58"/>
      <c r="H30" s="58"/>
      <c r="I30" s="58"/>
      <c r="J30" s="59"/>
      <c r="M30" s="9"/>
      <c r="N30" s="9"/>
      <c r="O30" s="9"/>
      <c r="P30" s="9"/>
      <c r="Q30" s="9"/>
    </row>
    <row r="31" spans="3:17" ht="23.1" customHeight="1" thickBot="1" x14ac:dyDescent="0.3">
      <c r="C31" s="52" t="s">
        <v>7</v>
      </c>
      <c r="D31" s="56"/>
      <c r="E31" s="53"/>
      <c r="F31" s="57"/>
      <c r="G31" s="58"/>
      <c r="H31" s="58"/>
      <c r="I31" s="58"/>
      <c r="J31" s="59"/>
      <c r="M31" s="9"/>
      <c r="N31" s="9"/>
      <c r="O31" s="9"/>
      <c r="P31" s="9"/>
      <c r="Q31" s="9"/>
    </row>
    <row r="32" spans="3:17" ht="16.7" customHeight="1" thickBot="1" x14ac:dyDescent="0.3">
      <c r="C32" s="52" t="s">
        <v>8</v>
      </c>
      <c r="D32" s="56"/>
      <c r="E32" s="56"/>
      <c r="F32" s="56"/>
      <c r="G32" s="56"/>
      <c r="H32" s="56"/>
      <c r="I32" s="56"/>
      <c r="J32" s="53"/>
    </row>
    <row r="33" spans="3:16" ht="22.35" customHeight="1" thickBot="1" x14ac:dyDescent="0.3">
      <c r="C33" s="52" t="s">
        <v>9</v>
      </c>
      <c r="D33" s="56"/>
      <c r="E33" s="53"/>
      <c r="F33" s="57"/>
      <c r="G33" s="58"/>
      <c r="H33" s="58"/>
      <c r="I33" s="58"/>
      <c r="J33" s="59"/>
    </row>
    <row r="34" spans="3:16" ht="23.1" customHeight="1" thickBot="1" x14ac:dyDescent="0.3">
      <c r="C34" s="52" t="s">
        <v>10</v>
      </c>
      <c r="D34" s="56"/>
      <c r="E34" s="53"/>
      <c r="F34" s="57"/>
      <c r="G34" s="58"/>
      <c r="H34" s="58"/>
      <c r="I34" s="58"/>
      <c r="J34" s="59"/>
    </row>
    <row r="35" spans="3:16" ht="23.1" customHeight="1" thickBot="1" x14ac:dyDescent="0.3">
      <c r="C35" s="52" t="s">
        <v>11</v>
      </c>
      <c r="D35" s="56"/>
      <c r="E35" s="53"/>
      <c r="F35" s="57"/>
      <c r="G35" s="58"/>
      <c r="H35" s="58"/>
      <c r="I35" s="58"/>
      <c r="J35" s="59"/>
    </row>
    <row r="36" spans="3:16" ht="20.65" customHeight="1" thickBot="1" x14ac:dyDescent="0.3">
      <c r="C36" s="52" t="s">
        <v>12</v>
      </c>
      <c r="D36" s="56"/>
      <c r="E36" s="53"/>
      <c r="F36" s="57"/>
      <c r="G36" s="58"/>
      <c r="H36" s="58"/>
      <c r="I36" s="58"/>
      <c r="J36" s="59"/>
      <c r="M36" s="89" t="s">
        <v>78</v>
      </c>
      <c r="N36" s="89"/>
      <c r="O36" s="89"/>
      <c r="P36" s="89"/>
    </row>
    <row r="37" spans="3:16" ht="25.5" thickTop="1" thickBot="1" x14ac:dyDescent="0.3">
      <c r="C37" s="44" t="s">
        <v>13</v>
      </c>
      <c r="D37" s="45"/>
      <c r="E37" s="45"/>
      <c r="F37" s="46"/>
      <c r="G37" s="47" t="str">
        <f xml:space="preserve"> SUMIF(G41:G99,"VRAI",J41:J99) &amp;"   " &amp; "Ehm"</f>
        <v>0   Ehm</v>
      </c>
      <c r="H37" s="48"/>
      <c r="I37" s="48"/>
      <c r="J37" s="49"/>
      <c r="M37" s="84" t="s">
        <v>79</v>
      </c>
      <c r="N37" s="85"/>
      <c r="O37" s="85"/>
      <c r="P37" s="86"/>
    </row>
    <row r="38" spans="3:16" ht="16.5" thickTop="1" thickBot="1" x14ac:dyDescent="0.3">
      <c r="M38" s="87" t="s">
        <v>80</v>
      </c>
      <c r="N38" s="88"/>
      <c r="O38" s="87" t="s">
        <v>81</v>
      </c>
      <c r="P38" s="88"/>
    </row>
    <row r="39" spans="3:16" ht="15" customHeight="1" thickTop="1" thickBot="1" x14ac:dyDescent="0.3">
      <c r="M39" s="79" t="s">
        <v>82</v>
      </c>
      <c r="N39" s="80"/>
      <c r="O39" s="11">
        <v>2.5</v>
      </c>
      <c r="P39" s="15" t="s">
        <v>83</v>
      </c>
    </row>
    <row r="40" spans="3:16" ht="23.65" customHeight="1" thickTop="1" thickBot="1" x14ac:dyDescent="0.3">
      <c r="C40" s="50" t="s">
        <v>14</v>
      </c>
      <c r="D40" s="51"/>
      <c r="E40" s="51"/>
      <c r="F40" s="51"/>
      <c r="G40" s="51"/>
      <c r="H40" s="51"/>
      <c r="I40" s="51"/>
      <c r="J40" s="54" t="s">
        <v>15</v>
      </c>
      <c r="M40" s="84" t="s">
        <v>14</v>
      </c>
      <c r="N40" s="85"/>
      <c r="O40" s="85"/>
      <c r="P40" s="85"/>
    </row>
    <row r="41" spans="3:16" ht="18.399999999999999" customHeight="1" thickTop="1" thickBot="1" x14ac:dyDescent="0.3">
      <c r="C41" s="44"/>
      <c r="D41" s="45"/>
      <c r="E41" s="45"/>
      <c r="F41" s="45"/>
      <c r="G41" s="46"/>
      <c r="H41" s="52" t="s">
        <v>16</v>
      </c>
      <c r="I41" s="53"/>
      <c r="J41" s="55"/>
      <c r="M41" s="87" t="s">
        <v>80</v>
      </c>
      <c r="N41" s="88"/>
      <c r="O41" s="87" t="s">
        <v>81</v>
      </c>
      <c r="P41" s="88"/>
    </row>
    <row r="42" spans="3:16" ht="22.35" customHeight="1" thickTop="1" thickBot="1" x14ac:dyDescent="0.3">
      <c r="C42" s="33" t="s">
        <v>17</v>
      </c>
      <c r="D42" s="34"/>
      <c r="E42" s="34"/>
      <c r="F42" s="35"/>
      <c r="G42" s="17" t="b">
        <v>0</v>
      </c>
      <c r="H42" s="18"/>
      <c r="I42" s="2" t="s">
        <v>23</v>
      </c>
      <c r="J42" s="10">
        <f>2.5 * H42</f>
        <v>0</v>
      </c>
      <c r="M42" s="79" t="s">
        <v>17</v>
      </c>
      <c r="N42" s="80"/>
      <c r="O42" s="11">
        <v>2.5</v>
      </c>
      <c r="P42" s="15" t="s">
        <v>84</v>
      </c>
    </row>
    <row r="43" spans="3:16" ht="23.1" customHeight="1" thickTop="1" thickBot="1" x14ac:dyDescent="0.3">
      <c r="C43" s="33" t="s">
        <v>18</v>
      </c>
      <c r="D43" s="34"/>
      <c r="E43" s="34"/>
      <c r="F43" s="35"/>
      <c r="G43" s="17" t="b">
        <v>0</v>
      </c>
      <c r="H43" s="18"/>
      <c r="I43" s="2" t="s">
        <v>23</v>
      </c>
      <c r="J43" s="10">
        <f>2 * H43</f>
        <v>0</v>
      </c>
      <c r="M43" s="79" t="s">
        <v>18</v>
      </c>
      <c r="N43" s="80"/>
      <c r="O43" s="11">
        <v>2</v>
      </c>
      <c r="P43" s="15" t="s">
        <v>84</v>
      </c>
    </row>
    <row r="44" spans="3:16" ht="30.95" customHeight="1" thickTop="1" thickBot="1" x14ac:dyDescent="0.3">
      <c r="C44" s="33" t="s">
        <v>127</v>
      </c>
      <c r="D44" s="34"/>
      <c r="E44" s="34"/>
      <c r="F44" s="35"/>
      <c r="G44" s="17" t="b">
        <v>0</v>
      </c>
      <c r="H44" s="18"/>
      <c r="I44" s="2" t="s">
        <v>128</v>
      </c>
      <c r="J44" s="10">
        <f>0.2 * H44</f>
        <v>0</v>
      </c>
      <c r="M44" s="79" t="s">
        <v>19</v>
      </c>
      <c r="N44" s="80"/>
      <c r="O44" s="11">
        <v>0.1</v>
      </c>
      <c r="P44" s="15" t="s">
        <v>85</v>
      </c>
    </row>
    <row r="45" spans="3:16" ht="21.4" customHeight="1" thickTop="1" thickBot="1" x14ac:dyDescent="0.3">
      <c r="C45" s="33" t="s">
        <v>19</v>
      </c>
      <c r="D45" s="34"/>
      <c r="E45" s="34"/>
      <c r="F45" s="35"/>
      <c r="G45" s="17" t="b">
        <v>0</v>
      </c>
      <c r="H45" s="18"/>
      <c r="I45" s="2" t="s">
        <v>24</v>
      </c>
      <c r="J45" s="10">
        <f>0.1* H45</f>
        <v>0</v>
      </c>
      <c r="M45" s="79" t="s">
        <v>129</v>
      </c>
      <c r="N45" s="80"/>
      <c r="O45" s="11">
        <v>5</v>
      </c>
      <c r="P45" s="15" t="s">
        <v>134</v>
      </c>
    </row>
    <row r="46" spans="3:16" ht="24.4" customHeight="1" thickTop="1" thickBot="1" x14ac:dyDescent="0.3">
      <c r="C46" s="33" t="s">
        <v>20</v>
      </c>
      <c r="D46" s="34"/>
      <c r="E46" s="34"/>
      <c r="F46" s="35"/>
      <c r="G46" s="17" t="b">
        <v>0</v>
      </c>
      <c r="H46" s="18"/>
      <c r="I46" s="2" t="s">
        <v>25</v>
      </c>
      <c r="J46" s="10">
        <f>0.6 * H46</f>
        <v>0</v>
      </c>
      <c r="M46" s="79" t="s">
        <v>20</v>
      </c>
      <c r="N46" s="80"/>
      <c r="O46" s="11">
        <v>0.6</v>
      </c>
      <c r="P46" s="15" t="s">
        <v>85</v>
      </c>
    </row>
    <row r="47" spans="3:16" ht="24.4" customHeight="1" thickTop="1" thickBot="1" x14ac:dyDescent="0.3">
      <c r="C47" s="33" t="s">
        <v>21</v>
      </c>
      <c r="D47" s="34"/>
      <c r="E47" s="34"/>
      <c r="F47" s="35"/>
      <c r="G47" s="17" t="b">
        <v>0</v>
      </c>
      <c r="H47" s="18"/>
      <c r="I47" s="2" t="s">
        <v>26</v>
      </c>
      <c r="J47" s="10">
        <f>0.2 * H47</f>
        <v>0</v>
      </c>
      <c r="M47" s="79" t="s">
        <v>21</v>
      </c>
      <c r="N47" s="80"/>
      <c r="O47" s="11">
        <v>0.2</v>
      </c>
      <c r="P47" s="15" t="s">
        <v>86</v>
      </c>
    </row>
    <row r="48" spans="3:16" ht="23.1" customHeight="1" thickTop="1" thickBot="1" x14ac:dyDescent="0.3">
      <c r="C48" s="33" t="s">
        <v>56</v>
      </c>
      <c r="D48" s="34"/>
      <c r="E48" s="34"/>
      <c r="F48" s="35"/>
      <c r="G48" s="17" t="b">
        <v>0</v>
      </c>
      <c r="H48" s="18"/>
      <c r="I48" s="2" t="s">
        <v>27</v>
      </c>
      <c r="J48" s="10">
        <f>0.3 * H48</f>
        <v>0</v>
      </c>
      <c r="M48" s="79" t="s">
        <v>87</v>
      </c>
      <c r="N48" s="80"/>
      <c r="O48" s="11">
        <v>0.3</v>
      </c>
      <c r="P48" s="15" t="s">
        <v>88</v>
      </c>
    </row>
    <row r="49" spans="3:16" ht="23.1" customHeight="1" thickTop="1" thickBot="1" x14ac:dyDescent="0.3">
      <c r="C49" s="33" t="s">
        <v>22</v>
      </c>
      <c r="D49" s="34"/>
      <c r="E49" s="34"/>
      <c r="F49" s="35"/>
      <c r="G49" s="17" t="b">
        <v>0</v>
      </c>
      <c r="H49" s="18"/>
      <c r="I49" s="2" t="s">
        <v>27</v>
      </c>
      <c r="J49" s="10">
        <f>0.1 * H49</f>
        <v>0</v>
      </c>
      <c r="M49" s="79" t="s">
        <v>89</v>
      </c>
      <c r="N49" s="80"/>
      <c r="O49" s="11">
        <v>0.1</v>
      </c>
      <c r="P49" s="15" t="s">
        <v>88</v>
      </c>
    </row>
    <row r="50" spans="3:16" ht="21.75" customHeight="1" thickTop="1" thickBot="1" x14ac:dyDescent="0.3">
      <c r="C50" s="33" t="s">
        <v>129</v>
      </c>
      <c r="D50" s="34"/>
      <c r="E50" s="34"/>
      <c r="F50" s="35"/>
      <c r="G50" s="17" t="b">
        <v>0</v>
      </c>
      <c r="H50" s="18"/>
      <c r="I50" s="2" t="s">
        <v>130</v>
      </c>
      <c r="J50" s="10" cm="1">
        <f t="array" ref="J50" xml:space="preserve"> _xlfn.IFS(ISBLANK(H50),0, H50&lt;=100, 5, TRUNC(H50/100)&lt;(H50/100), TRUNC(H50/100)*5 +5,TRUNC(H50/100)=(H50/100), TRUNC(H50/100)*5)</f>
        <v>0</v>
      </c>
      <c r="M50" s="79" t="s">
        <v>29</v>
      </c>
      <c r="N50" s="80"/>
      <c r="O50" s="11">
        <v>3</v>
      </c>
      <c r="P50" s="15" t="s">
        <v>90</v>
      </c>
    </row>
    <row r="51" spans="3:16" ht="23.45" customHeight="1" thickTop="1" thickBot="1" x14ac:dyDescent="0.3">
      <c r="C51" s="33" t="s">
        <v>29</v>
      </c>
      <c r="D51" s="34"/>
      <c r="E51" s="34"/>
      <c r="F51" s="35"/>
      <c r="G51" s="17" t="b">
        <v>0</v>
      </c>
      <c r="H51" s="16"/>
      <c r="I51" s="6" t="s">
        <v>28</v>
      </c>
      <c r="J51" s="10" cm="1">
        <f t="array" ref="J51" xml:space="preserve"> _xlfn.IFS(ISBLANK(H51),0, H51&lt;=100, 3, TRUNC(H51/100)&lt;(H51/100), TRUNC(H51/100)*3 +3,TRUNC(H51/100)=(H51/100), TRUNC(H51/100)*3)</f>
        <v>0</v>
      </c>
      <c r="M51" s="79" t="s">
        <v>30</v>
      </c>
      <c r="N51" s="80"/>
      <c r="O51" s="11">
        <v>2</v>
      </c>
      <c r="P51" s="15" t="s">
        <v>91</v>
      </c>
    </row>
    <row r="52" spans="3:16" ht="23.45" customHeight="1" thickTop="1" thickBot="1" x14ac:dyDescent="0.3">
      <c r="C52" s="33" t="s">
        <v>131</v>
      </c>
      <c r="D52" s="34"/>
      <c r="E52" s="34"/>
      <c r="F52" s="35"/>
      <c r="G52" s="17" t="b">
        <v>0</v>
      </c>
      <c r="H52" s="16"/>
      <c r="I52" s="6" t="s">
        <v>28</v>
      </c>
      <c r="J52" s="10" cm="1">
        <f t="array" ref="J52" xml:space="preserve"> _xlfn.IFS(ISBLANK(H52),0, H52&lt;=100, 3, TRUNC(H52/100)&lt;(H52/100), TRUNC(H52/100)*3 +3,TRUNC(H52/100)=(H52/100), TRUNC(H52/100)*3)</f>
        <v>0</v>
      </c>
      <c r="M52" s="79" t="s">
        <v>29</v>
      </c>
      <c r="N52" s="80"/>
      <c r="O52" s="11">
        <v>3</v>
      </c>
      <c r="P52" s="15" t="s">
        <v>90</v>
      </c>
    </row>
    <row r="53" spans="3:16" ht="23.1" customHeight="1" thickTop="1" thickBot="1" x14ac:dyDescent="0.3">
      <c r="C53" s="33" t="s">
        <v>30</v>
      </c>
      <c r="D53" s="34"/>
      <c r="E53" s="34"/>
      <c r="F53" s="35"/>
      <c r="G53" s="17" t="b">
        <v>0</v>
      </c>
      <c r="H53" s="36" t="str" cm="1">
        <f t="array" ref="H53">_xlfn.IFS(G53=FALSE,"", G53=TRUE, "→")</f>
        <v/>
      </c>
      <c r="I53" s="37"/>
      <c r="J53" s="10" cm="1">
        <f t="array" ref="J53">_xlfn.IFS(G53=FALSE, 0, G53=TRUE, 2)</f>
        <v>0</v>
      </c>
      <c r="M53" s="84" t="s">
        <v>31</v>
      </c>
      <c r="N53" s="85"/>
      <c r="O53" s="85"/>
      <c r="P53" s="86"/>
    </row>
    <row r="54" spans="3:16" ht="23.1" customHeight="1" thickTop="1" thickBot="1" x14ac:dyDescent="0.3">
      <c r="C54" s="38" t="s">
        <v>31</v>
      </c>
      <c r="D54" s="39"/>
      <c r="E54" s="39"/>
      <c r="F54" s="39"/>
      <c r="G54" s="39"/>
      <c r="H54" s="39"/>
      <c r="I54" s="40"/>
      <c r="J54" s="5" t="s">
        <v>15</v>
      </c>
      <c r="M54" s="87" t="s">
        <v>80</v>
      </c>
      <c r="N54" s="88"/>
      <c r="O54" s="87" t="s">
        <v>81</v>
      </c>
      <c r="P54" s="88"/>
    </row>
    <row r="55" spans="3:16" ht="24" customHeight="1" thickTop="1" thickBot="1" x14ac:dyDescent="0.3">
      <c r="C55" s="44"/>
      <c r="D55" s="45"/>
      <c r="E55" s="45"/>
      <c r="F55" s="45"/>
      <c r="G55" s="46"/>
      <c r="H55" s="52" t="s">
        <v>16</v>
      </c>
      <c r="I55" s="53"/>
      <c r="J55" s="6"/>
      <c r="M55" s="79" t="s">
        <v>92</v>
      </c>
      <c r="N55" s="80"/>
      <c r="O55" s="11">
        <v>0.6</v>
      </c>
      <c r="P55" s="15" t="s">
        <v>84</v>
      </c>
    </row>
    <row r="56" spans="3:16" ht="33.75" customHeight="1" thickTop="1" thickBot="1" x14ac:dyDescent="0.3">
      <c r="C56" s="33" t="s">
        <v>57</v>
      </c>
      <c r="D56" s="34"/>
      <c r="E56" s="34"/>
      <c r="F56" s="35"/>
      <c r="G56" s="17" t="b">
        <v>0</v>
      </c>
      <c r="H56" s="16"/>
      <c r="I56" s="6" t="s">
        <v>23</v>
      </c>
      <c r="J56" s="10">
        <f>0.6 * H56</f>
        <v>0</v>
      </c>
      <c r="M56" s="79" t="s">
        <v>32</v>
      </c>
      <c r="N56" s="80"/>
      <c r="O56" s="11">
        <v>4</v>
      </c>
      <c r="P56" s="15" t="s">
        <v>93</v>
      </c>
    </row>
    <row r="57" spans="3:16" ht="23.65" customHeight="1" thickTop="1" thickBot="1" x14ac:dyDescent="0.3">
      <c r="C57" s="33" t="s">
        <v>32</v>
      </c>
      <c r="D57" s="34"/>
      <c r="E57" s="34"/>
      <c r="F57" s="35"/>
      <c r="G57" s="17" t="b">
        <v>0</v>
      </c>
      <c r="H57" s="33"/>
      <c r="I57" s="35"/>
      <c r="J57" s="10">
        <f>4 * H57</f>
        <v>0</v>
      </c>
      <c r="M57" s="79" t="s">
        <v>94</v>
      </c>
      <c r="N57" s="80"/>
      <c r="O57" s="11">
        <v>0.5</v>
      </c>
      <c r="P57" s="15" t="s">
        <v>95</v>
      </c>
    </row>
    <row r="58" spans="3:16" ht="35.1" customHeight="1" thickTop="1" thickBot="1" x14ac:dyDescent="0.3">
      <c r="C58" s="33" t="s">
        <v>58</v>
      </c>
      <c r="D58" s="34"/>
      <c r="E58" s="34"/>
      <c r="F58" s="24"/>
      <c r="G58" s="17" t="b">
        <v>0</v>
      </c>
      <c r="H58" s="16"/>
      <c r="I58" s="6" t="s">
        <v>33</v>
      </c>
      <c r="J58" s="10">
        <f>0.5 * H58</f>
        <v>0</v>
      </c>
      <c r="M58" s="81" t="s">
        <v>34</v>
      </c>
      <c r="N58" s="15" t="s">
        <v>36</v>
      </c>
      <c r="O58" s="11">
        <v>5</v>
      </c>
      <c r="P58" s="15" t="s">
        <v>96</v>
      </c>
    </row>
    <row r="59" spans="3:16" ht="22.35" customHeight="1" thickBot="1" x14ac:dyDescent="0.3">
      <c r="C59" s="23" t="s">
        <v>34</v>
      </c>
      <c r="D59" s="29"/>
      <c r="E59" s="24"/>
      <c r="F59" s="4" t="s">
        <v>36</v>
      </c>
      <c r="G59" s="17" t="b">
        <v>0</v>
      </c>
      <c r="H59" s="36" t="str" cm="1">
        <f t="array" ref="H59">_xlfn.IFS(G59=FALSE,"", G59=TRUE, "→")</f>
        <v/>
      </c>
      <c r="I59" s="37"/>
      <c r="J59" s="10" cm="1">
        <f t="array" ref="J59">_xlfn.IFS(G59=FALSE, 0, G59=TRUE, 5)</f>
        <v>0</v>
      </c>
      <c r="M59" s="83"/>
      <c r="N59" s="15" t="s">
        <v>37</v>
      </c>
      <c r="O59" s="11">
        <v>10</v>
      </c>
      <c r="P59" s="15" t="s">
        <v>96</v>
      </c>
    </row>
    <row r="60" spans="3:16" ht="21.4" customHeight="1" thickBot="1" x14ac:dyDescent="0.3">
      <c r="C60" s="25"/>
      <c r="D60" s="30"/>
      <c r="E60" s="26"/>
      <c r="F60" s="4" t="s">
        <v>37</v>
      </c>
      <c r="G60" s="17" t="b">
        <v>0</v>
      </c>
      <c r="H60" s="36" t="str" cm="1">
        <f t="array" ref="H60">_xlfn.IFS(G60=FALSE,"", G60=TRUE, "→")</f>
        <v/>
      </c>
      <c r="I60" s="37"/>
      <c r="J60" s="10" cm="1">
        <f t="array" ref="J60">_xlfn.IFS(G60=FALSE, 0, G60=TRUE, 10)</f>
        <v>0</v>
      </c>
      <c r="M60" s="82"/>
      <c r="N60" s="15" t="s">
        <v>38</v>
      </c>
      <c r="O60" s="11">
        <v>0.3</v>
      </c>
      <c r="P60" s="15" t="s">
        <v>86</v>
      </c>
    </row>
    <row r="61" spans="3:16" ht="20.100000000000001" customHeight="1" thickTop="1" thickBot="1" x14ac:dyDescent="0.3">
      <c r="C61" s="27"/>
      <c r="D61" s="31"/>
      <c r="E61" s="28"/>
      <c r="F61" s="7" t="s">
        <v>38</v>
      </c>
      <c r="G61" s="17" t="b">
        <v>0</v>
      </c>
      <c r="H61" s="16"/>
      <c r="I61" s="6" t="s">
        <v>26</v>
      </c>
      <c r="J61" s="10">
        <f>0.3 * H61</f>
        <v>0</v>
      </c>
      <c r="M61" s="81" t="s">
        <v>35</v>
      </c>
      <c r="N61" s="15" t="s">
        <v>36</v>
      </c>
      <c r="O61" s="11">
        <v>4</v>
      </c>
      <c r="P61" s="15" t="s">
        <v>96</v>
      </c>
    </row>
    <row r="62" spans="3:16" ht="20.100000000000001" customHeight="1" thickBot="1" x14ac:dyDescent="0.3">
      <c r="C62" s="23" t="s">
        <v>35</v>
      </c>
      <c r="D62" s="29"/>
      <c r="E62" s="24"/>
      <c r="F62" s="4" t="s">
        <v>36</v>
      </c>
      <c r="G62" s="17" t="b">
        <v>0</v>
      </c>
      <c r="H62" s="36" t="str" cm="1">
        <f t="array" ref="H62">_xlfn.IFS(G62=FALSE,"", G62=TRUE, "→")</f>
        <v/>
      </c>
      <c r="I62" s="37"/>
      <c r="J62" s="10" cm="1">
        <f t="array" ref="J62">_xlfn.IFS(G62=FALSE, 0, G62=TRUE, 4)</f>
        <v>0</v>
      </c>
      <c r="M62" s="83"/>
      <c r="N62" s="15" t="s">
        <v>37</v>
      </c>
      <c r="O62" s="11">
        <v>7</v>
      </c>
      <c r="P62" s="15" t="s">
        <v>96</v>
      </c>
    </row>
    <row r="63" spans="3:16" ht="21.75" customHeight="1" thickBot="1" x14ac:dyDescent="0.3">
      <c r="C63" s="25"/>
      <c r="D63" s="30"/>
      <c r="E63" s="26"/>
      <c r="F63" s="4" t="s">
        <v>37</v>
      </c>
      <c r="G63" s="17" t="b">
        <v>0</v>
      </c>
      <c r="H63" s="36" t="str" cm="1">
        <f t="array" ref="H63">_xlfn.IFS(G63=FALSE,"", G63=TRUE, "→")</f>
        <v/>
      </c>
      <c r="I63" s="37"/>
      <c r="J63" s="10" cm="1">
        <f t="array" ref="J63">_xlfn.IFS(G63=FALSE, 0, G63=TRUE, 7)</f>
        <v>0</v>
      </c>
      <c r="M63" s="82"/>
      <c r="N63" s="15" t="s">
        <v>38</v>
      </c>
      <c r="O63" s="11">
        <v>0.2</v>
      </c>
      <c r="P63" s="15" t="s">
        <v>86</v>
      </c>
    </row>
    <row r="64" spans="3:16" ht="41.65" customHeight="1" thickTop="1" thickBot="1" x14ac:dyDescent="0.3">
      <c r="C64" s="27"/>
      <c r="D64" s="31"/>
      <c r="E64" s="28"/>
      <c r="F64" s="7" t="s">
        <v>38</v>
      </c>
      <c r="G64" s="17" t="b">
        <v>0</v>
      </c>
      <c r="H64" s="16"/>
      <c r="I64" s="6" t="s">
        <v>26</v>
      </c>
      <c r="J64" s="10">
        <f>0.2 * H64</f>
        <v>0</v>
      </c>
      <c r="M64" s="84" t="s">
        <v>51</v>
      </c>
      <c r="N64" s="85"/>
      <c r="O64" s="85"/>
      <c r="P64" s="86"/>
    </row>
    <row r="65" spans="3:16" ht="23.65" customHeight="1" thickTop="1" thickBot="1" x14ac:dyDescent="0.3">
      <c r="C65" s="38" t="s">
        <v>51</v>
      </c>
      <c r="D65" s="39"/>
      <c r="E65" s="39"/>
      <c r="F65" s="39"/>
      <c r="G65" s="39"/>
      <c r="H65" s="39"/>
      <c r="I65" s="40"/>
      <c r="J65" s="5" t="s">
        <v>15</v>
      </c>
      <c r="M65" s="87" t="s">
        <v>80</v>
      </c>
      <c r="N65" s="88"/>
      <c r="O65" s="87" t="s">
        <v>81</v>
      </c>
      <c r="P65" s="88"/>
    </row>
    <row r="66" spans="3:16" ht="34.700000000000003" customHeight="1" thickTop="1" thickBot="1" x14ac:dyDescent="0.3">
      <c r="C66" s="23" t="s">
        <v>40</v>
      </c>
      <c r="D66" s="29"/>
      <c r="E66" s="29"/>
      <c r="F66" s="24"/>
      <c r="G66" s="17" t="b">
        <v>0</v>
      </c>
      <c r="H66" s="16"/>
      <c r="I66" s="6" t="s">
        <v>39</v>
      </c>
      <c r="J66" s="10" cm="1">
        <f t="array" ref="J66" xml:space="preserve"> _xlfn.IFS(ISBLANK(H66),0, H66&lt;=150, 1, TRUNC(H66/150)&lt;(H66/150), TRUNC(H66/150) +1,TRUNC(H66/150)=(H66/150), TRUNC(H66/150))</f>
        <v>0</v>
      </c>
      <c r="M66" s="91" t="s">
        <v>97</v>
      </c>
      <c r="N66" s="92"/>
      <c r="O66" s="11">
        <v>1</v>
      </c>
      <c r="P66" s="15" t="s">
        <v>98</v>
      </c>
    </row>
    <row r="67" spans="3:16" ht="38.65" customHeight="1" thickTop="1" thickBot="1" x14ac:dyDescent="0.3">
      <c r="C67" s="25" t="s">
        <v>41</v>
      </c>
      <c r="D67" s="30"/>
      <c r="E67" s="26"/>
      <c r="F67" s="4" t="s">
        <v>42</v>
      </c>
      <c r="G67" s="3" t="b">
        <v>0</v>
      </c>
      <c r="H67" s="36" t="str" cm="1">
        <f t="array" ref="H67">_xlfn.IFS(G67=FALSE,"", G67=TRUE, "→")</f>
        <v/>
      </c>
      <c r="I67" s="37"/>
      <c r="J67" s="10" cm="1">
        <f t="array" ref="J67">_xlfn.IFS(G67=FALSE, 0, G67=TRUE, 1)</f>
        <v>0</v>
      </c>
      <c r="M67" s="83" t="s">
        <v>99</v>
      </c>
      <c r="N67" s="14" t="s">
        <v>100</v>
      </c>
      <c r="O67" s="11">
        <v>1</v>
      </c>
      <c r="P67" s="15" t="s">
        <v>101</v>
      </c>
    </row>
    <row r="68" spans="3:16" ht="41.1" customHeight="1" thickBot="1" x14ac:dyDescent="0.3">
      <c r="C68" s="27"/>
      <c r="D68" s="31"/>
      <c r="E68" s="28"/>
      <c r="F68" s="4" t="s">
        <v>43</v>
      </c>
      <c r="G68" s="17" t="b">
        <v>0</v>
      </c>
      <c r="H68" s="16"/>
      <c r="I68" s="6" t="s">
        <v>44</v>
      </c>
      <c r="J68" s="10" cm="1">
        <f t="array" ref="J68" xml:space="preserve"> _xlfn.IFS(ISBLANK(H68),0, H68 &lt; 10, 1, H68 = 10, 1, TRUNC(H68/5)&lt;(H68/5), TRUNC(H68/5)*0.5 +0.5,TRUNC(H68/5)=(H68/5), TRUNC(H68/5)*0.5)</f>
        <v>0</v>
      </c>
      <c r="M68" s="82"/>
      <c r="N68" s="15" t="s">
        <v>43</v>
      </c>
      <c r="O68" s="11">
        <v>0.5</v>
      </c>
      <c r="P68" s="15" t="s">
        <v>102</v>
      </c>
    </row>
    <row r="69" spans="3:16" ht="32.1" customHeight="1" thickBot="1" x14ac:dyDescent="0.3">
      <c r="C69" s="25" t="s">
        <v>45</v>
      </c>
      <c r="D69" s="30"/>
      <c r="E69" s="26"/>
      <c r="F69" s="4" t="s">
        <v>42</v>
      </c>
      <c r="G69" s="17" t="b">
        <v>0</v>
      </c>
      <c r="H69" s="36" t="str" cm="1">
        <f t="array" ref="H69">_xlfn.IFS(G69=FALSE,"", G69=TRUE, "→")</f>
        <v/>
      </c>
      <c r="I69" s="37"/>
      <c r="J69" s="10" cm="1">
        <f t="array" ref="J69">_xlfn.IFS(G69=FALSE, 0, G69=TRUE, 2.5)</f>
        <v>0</v>
      </c>
      <c r="M69" s="12" t="s">
        <v>103</v>
      </c>
      <c r="N69" s="15" t="s">
        <v>100</v>
      </c>
      <c r="O69" s="11">
        <v>2.5</v>
      </c>
      <c r="P69" s="15" t="s">
        <v>101</v>
      </c>
    </row>
    <row r="70" spans="3:16" ht="26.65" customHeight="1" thickBot="1" x14ac:dyDescent="0.3">
      <c r="C70" s="27"/>
      <c r="D70" s="31"/>
      <c r="E70" s="28"/>
      <c r="F70" s="4" t="s">
        <v>43</v>
      </c>
      <c r="G70" s="17" t="b">
        <v>0</v>
      </c>
      <c r="H70" s="16"/>
      <c r="I70" s="19" t="s">
        <v>44</v>
      </c>
      <c r="J70" s="10" cm="1">
        <f t="array" ref="J70" xml:space="preserve"> _xlfn.IFS( ISBLANK(H70),0, H70 &lt; 10, 2.5, H70 = 10, 2.5, TRUNC(H70/5)&lt;(H70/5), TRUNC(H70/5)*1.5 + 1,TRUNC(H70/5)=(H70/5), 2.5 + (TRUNC(H70/5)-2)*1.5 )</f>
        <v>0</v>
      </c>
      <c r="M70" s="13" t="s">
        <v>104</v>
      </c>
      <c r="N70" s="15" t="s">
        <v>43</v>
      </c>
      <c r="O70" s="11">
        <v>1.5</v>
      </c>
      <c r="P70" s="15" t="s">
        <v>105</v>
      </c>
    </row>
    <row r="71" spans="3:16" ht="21.4" customHeight="1" thickTop="1" thickBot="1" x14ac:dyDescent="0.3">
      <c r="C71" s="25" t="s">
        <v>50</v>
      </c>
      <c r="D71" s="30"/>
      <c r="E71" s="26"/>
      <c r="F71" s="4" t="s">
        <v>42</v>
      </c>
      <c r="G71" s="17" t="b">
        <v>0</v>
      </c>
      <c r="H71" s="36" t="str" cm="1">
        <f t="array" ref="H71">_xlfn.IFS(G71=FALSE,"", G71=TRUE, "→")</f>
        <v/>
      </c>
      <c r="I71" s="37"/>
      <c r="J71" s="10" cm="1">
        <f t="array" ref="J71">_xlfn.IFS(G71=FALSE, 0, G71=TRUE, 10)</f>
        <v>0</v>
      </c>
      <c r="M71" s="81" t="s">
        <v>106</v>
      </c>
      <c r="N71" s="15" t="s">
        <v>100</v>
      </c>
      <c r="O71" s="11">
        <v>10</v>
      </c>
      <c r="P71" s="15" t="s">
        <v>101</v>
      </c>
    </row>
    <row r="72" spans="3:16" ht="20.65" customHeight="1" thickBot="1" x14ac:dyDescent="0.3">
      <c r="C72" s="27"/>
      <c r="D72" s="31"/>
      <c r="E72" s="28"/>
      <c r="F72" s="4" t="s">
        <v>43</v>
      </c>
      <c r="G72" s="17" t="b">
        <v>0</v>
      </c>
      <c r="H72" s="16"/>
      <c r="I72" s="6" t="s">
        <v>44</v>
      </c>
      <c r="J72" s="10" cm="1">
        <f t="array" ref="J72" xml:space="preserve"> _xlfn.IFS( ISBLANK(H72),0, H72 &lt; 10, 10, H72=10, 10, TRUNC(H72/5)&lt;(H72/5), TRUNC(H72/5)*6.5 + 3.5,TRUNC(H72/5)=(H72/5), 10 +(TRUNC(H72/5)-2)*6.5)</f>
        <v>0</v>
      </c>
      <c r="M72" s="82"/>
      <c r="N72" s="15" t="s">
        <v>43</v>
      </c>
      <c r="O72" s="11">
        <v>6.5</v>
      </c>
      <c r="P72" s="15" t="s">
        <v>102</v>
      </c>
    </row>
    <row r="73" spans="3:16" ht="20.100000000000001" customHeight="1" thickTop="1" thickBot="1" x14ac:dyDescent="0.3">
      <c r="C73" s="25" t="s">
        <v>46</v>
      </c>
      <c r="D73" s="30"/>
      <c r="E73" s="26"/>
      <c r="F73" s="4" t="s">
        <v>42</v>
      </c>
      <c r="G73" s="17" t="b">
        <v>0</v>
      </c>
      <c r="H73" s="36" t="str" cm="1">
        <f t="array" ref="H73">_xlfn.IFS(G73=FALSE,"", G73=TRUE, "→")</f>
        <v/>
      </c>
      <c r="I73" s="37"/>
      <c r="J73" s="10" cm="1">
        <f t="array" ref="J73">_xlfn.IFS(G73=FALSE, 0, G73=TRUE, 6)</f>
        <v>0</v>
      </c>
      <c r="M73" s="81" t="s">
        <v>46</v>
      </c>
      <c r="N73" s="15" t="s">
        <v>100</v>
      </c>
      <c r="O73" s="11">
        <v>6</v>
      </c>
      <c r="P73" s="15" t="s">
        <v>107</v>
      </c>
    </row>
    <row r="74" spans="3:16" ht="27" customHeight="1" thickBot="1" x14ac:dyDescent="0.3">
      <c r="C74" s="27"/>
      <c r="D74" s="31"/>
      <c r="E74" s="28"/>
      <c r="F74" s="4" t="s">
        <v>43</v>
      </c>
      <c r="G74" s="17" t="b">
        <v>0</v>
      </c>
      <c r="H74" s="16"/>
      <c r="I74" s="6" t="s">
        <v>44</v>
      </c>
      <c r="J74" s="10" cm="1">
        <f t="array" ref="J74" xml:space="preserve"> _xlfn.IFS( ISBLANK(H74),0, H74 &lt; 10, 6, H74=10, 6, TRUNC(H74/5)&lt;(H74/5), TRUNC(H74/5)*4 + 2,TRUNC(H74/5)=(H74/5),6+ (TRUNC(H74/5)-2)*4)</f>
        <v>0</v>
      </c>
      <c r="M74" s="82"/>
      <c r="N74" s="15" t="s">
        <v>43</v>
      </c>
      <c r="O74" s="11">
        <v>4</v>
      </c>
      <c r="P74" s="15" t="s">
        <v>102</v>
      </c>
    </row>
    <row r="75" spans="3:16" ht="20.45" customHeight="1" thickTop="1" thickBot="1" x14ac:dyDescent="0.3">
      <c r="C75" s="25" t="s">
        <v>47</v>
      </c>
      <c r="D75" s="30"/>
      <c r="E75" s="26"/>
      <c r="F75" s="4" t="s">
        <v>42</v>
      </c>
      <c r="G75" s="17" t="b">
        <v>0</v>
      </c>
      <c r="H75" s="36" t="str" cm="1">
        <f t="array" ref="H75">_xlfn.IFS(G75=FALSE,"", G75=TRUE, "→")</f>
        <v/>
      </c>
      <c r="I75" s="37"/>
      <c r="J75" s="10" cm="1">
        <f t="array" ref="J75">_xlfn.IFS(G75=FALSE, 0, G75=TRUE, 30)</f>
        <v>0</v>
      </c>
      <c r="M75" s="81" t="s">
        <v>47</v>
      </c>
      <c r="N75" s="15" t="s">
        <v>100</v>
      </c>
      <c r="O75" s="11">
        <v>30</v>
      </c>
      <c r="P75" s="15" t="s">
        <v>108</v>
      </c>
    </row>
    <row r="76" spans="3:16" ht="22.35" customHeight="1" thickBot="1" x14ac:dyDescent="0.3">
      <c r="C76" s="27"/>
      <c r="D76" s="31"/>
      <c r="E76" s="28"/>
      <c r="F76" s="4" t="s">
        <v>43</v>
      </c>
      <c r="G76" s="17" t="b">
        <v>0</v>
      </c>
      <c r="H76" s="16"/>
      <c r="I76" s="6" t="s">
        <v>44</v>
      </c>
      <c r="J76" s="10" cm="1">
        <f t="array" ref="J76" xml:space="preserve"> _xlfn.IFS( ISBLANK(H76),0, H76 &lt; 10, 30, H76 =10, 30, TRUNC(H76/5)&lt;(H76/5), TRUNC(H76/5)*20 + 10,TRUNC(H76/5)=(H76/5), 30 + (TRUNC(H76/5)-2)*20)</f>
        <v>0</v>
      </c>
      <c r="M76" s="82"/>
      <c r="N76" s="15" t="s">
        <v>43</v>
      </c>
      <c r="O76" s="11">
        <v>20</v>
      </c>
      <c r="P76" s="15" t="s">
        <v>102</v>
      </c>
    </row>
    <row r="77" spans="3:16" ht="20.65" customHeight="1" thickTop="1" thickBot="1" x14ac:dyDescent="0.3">
      <c r="C77" s="25" t="s">
        <v>132</v>
      </c>
      <c r="D77" s="30"/>
      <c r="E77" s="26"/>
      <c r="F77" s="4" t="s">
        <v>42</v>
      </c>
      <c r="G77" s="17" t="b">
        <v>0</v>
      </c>
      <c r="H77" s="36" t="str" cm="1">
        <f t="array" ref="H77">_xlfn.IFS(G77=FALSE,"", G77=TRUE, "→")</f>
        <v/>
      </c>
      <c r="I77" s="37"/>
      <c r="J77" s="10" cm="1">
        <f t="array" ref="J77">_xlfn.IFS(G77=FALSE, 0, G77=TRUE, 3.5)</f>
        <v>0</v>
      </c>
      <c r="M77" s="81" t="s">
        <v>109</v>
      </c>
      <c r="N77" s="15" t="s">
        <v>100</v>
      </c>
      <c r="O77" s="11">
        <v>3.5</v>
      </c>
      <c r="P77" s="15" t="s">
        <v>108</v>
      </c>
    </row>
    <row r="78" spans="3:16" ht="20.65" customHeight="1" thickBot="1" x14ac:dyDescent="0.3">
      <c r="C78" s="27"/>
      <c r="D78" s="31"/>
      <c r="E78" s="28"/>
      <c r="F78" s="4" t="s">
        <v>43</v>
      </c>
      <c r="G78" s="17" t="b">
        <v>0</v>
      </c>
      <c r="H78" s="16"/>
      <c r="I78" s="6" t="s">
        <v>44</v>
      </c>
      <c r="J78" s="10" cm="1">
        <f t="array" ref="J78" xml:space="preserve"> _xlfn.IFS( ISBLANK(H78),0, H78 &lt; 10, 3.5, H78=10, 3.5, TRUNC(H78/5)&lt;(H78/5), TRUNC(H78/5)*2.5 + 1,TRUNC(H78/5)=(H78/5), 3.5 + (TRUNC(H78/5)-2)*2.5)</f>
        <v>0</v>
      </c>
      <c r="M78" s="82"/>
      <c r="N78" s="15" t="s">
        <v>43</v>
      </c>
      <c r="O78" s="11">
        <v>2.5</v>
      </c>
      <c r="P78" s="15" t="s">
        <v>105</v>
      </c>
    </row>
    <row r="79" spans="3:16" ht="21.95" customHeight="1" thickTop="1" thickBot="1" x14ac:dyDescent="0.3">
      <c r="C79" s="25" t="s">
        <v>48</v>
      </c>
      <c r="D79" s="30"/>
      <c r="E79" s="26"/>
      <c r="F79" s="4" t="s">
        <v>42</v>
      </c>
      <c r="G79" s="17" t="b">
        <v>0</v>
      </c>
      <c r="H79" s="36" t="str" cm="1">
        <f t="array" ref="H79">_xlfn.IFS(G79=FALSE,"", G79=TRUE, "→")</f>
        <v/>
      </c>
      <c r="I79" s="37"/>
      <c r="J79" s="10" cm="1">
        <f t="array" ref="J79">_xlfn.IFS(G79=FALSE, 0, G79=TRUE, 15)</f>
        <v>0</v>
      </c>
      <c r="M79" s="81" t="s">
        <v>48</v>
      </c>
      <c r="N79" s="15" t="s">
        <v>100</v>
      </c>
      <c r="O79" s="11">
        <v>15</v>
      </c>
      <c r="P79" s="15" t="s">
        <v>108</v>
      </c>
    </row>
    <row r="80" spans="3:16" ht="29.1" customHeight="1" thickBot="1" x14ac:dyDescent="0.3">
      <c r="C80" s="27"/>
      <c r="D80" s="31"/>
      <c r="E80" s="28"/>
      <c r="F80" s="4" t="s">
        <v>43</v>
      </c>
      <c r="G80" s="17" t="b">
        <v>0</v>
      </c>
      <c r="H80" s="16"/>
      <c r="I80" s="6" t="s">
        <v>44</v>
      </c>
      <c r="J80" s="10" cm="1">
        <f t="array" ref="J80" xml:space="preserve"> _xlfn.IFS( ISBLANK(H80),0, H80 &lt; 10, 15, H80 = 10, 15, TRUNC(H80/5)&lt;(H80/5), TRUNC(H80/5)*10 + 5,TRUNC(H80/5)=(H80/5), 15 + (TRUNC(H80/5)-2)*10)</f>
        <v>0</v>
      </c>
      <c r="M80" s="82"/>
      <c r="N80" s="15" t="s">
        <v>43</v>
      </c>
      <c r="O80" s="11">
        <v>10</v>
      </c>
      <c r="P80" s="15" t="s">
        <v>102</v>
      </c>
    </row>
    <row r="81" spans="3:16" ht="22.35" customHeight="1" thickTop="1" thickBot="1" x14ac:dyDescent="0.3">
      <c r="C81" s="25" t="s">
        <v>49</v>
      </c>
      <c r="D81" s="30"/>
      <c r="E81" s="26"/>
      <c r="F81" s="4" t="s">
        <v>42</v>
      </c>
      <c r="G81" s="17" t="b">
        <v>0</v>
      </c>
      <c r="H81" s="36" t="str" cm="1">
        <f t="array" ref="H81">_xlfn.IFS(G81=FALSE,"", G81=TRUE, "→")</f>
        <v/>
      </c>
      <c r="I81" s="37"/>
      <c r="J81" s="10" cm="1">
        <f t="array" ref="J81">_xlfn.IFS(G81=FALSE, 0, G81=TRUE, 5.5)</f>
        <v>0</v>
      </c>
      <c r="M81" s="81" t="s">
        <v>49</v>
      </c>
      <c r="N81" s="15" t="s">
        <v>100</v>
      </c>
      <c r="O81" s="11">
        <v>5.5</v>
      </c>
      <c r="P81" s="15" t="s">
        <v>108</v>
      </c>
    </row>
    <row r="82" spans="3:16" ht="19.350000000000001" customHeight="1" thickBot="1" x14ac:dyDescent="0.3">
      <c r="C82" s="27"/>
      <c r="D82" s="31"/>
      <c r="E82" s="28"/>
      <c r="F82" s="4" t="s">
        <v>43</v>
      </c>
      <c r="G82" s="17" t="b">
        <v>0</v>
      </c>
      <c r="H82" s="16"/>
      <c r="I82" s="6" t="s">
        <v>44</v>
      </c>
      <c r="J82" s="10" cm="1">
        <f t="array" ref="J82" xml:space="preserve"> _xlfn.IFS( ISBLANK(H82),0, H82 &lt; 10, 5.5, H82 = 10, 5.5, TRUNC(H82/5)&lt;(H82/5), TRUNC(H82/5)*3.5 + 2,TRUNC(H82/5)=(H82/5), 5.5 + (TRUNC(H82/5)-2)*3.5)</f>
        <v>0</v>
      </c>
      <c r="M82" s="82"/>
      <c r="N82" s="15" t="s">
        <v>43</v>
      </c>
      <c r="O82" s="11">
        <v>3.5</v>
      </c>
      <c r="P82" s="15" t="s">
        <v>102</v>
      </c>
    </row>
    <row r="83" spans="3:16" ht="33.75" customHeight="1" thickBot="1" x14ac:dyDescent="0.3">
      <c r="C83" s="25" t="s">
        <v>133</v>
      </c>
      <c r="D83" s="30"/>
      <c r="E83" s="26"/>
      <c r="F83" s="4" t="s">
        <v>42</v>
      </c>
      <c r="G83" s="17" t="b">
        <v>0</v>
      </c>
      <c r="H83" s="36" t="str" cm="1">
        <f t="array" ref="H83">_xlfn.IFS(G83=FALSE,"", G83=TRUE, "→")</f>
        <v/>
      </c>
      <c r="I83" s="37"/>
      <c r="J83" s="10" cm="1">
        <f t="array" ref="J83">_xlfn.IFS(G83=FALSE, 0, G83=TRUE, 3.5)</f>
        <v>0</v>
      </c>
      <c r="M83" s="12" t="s">
        <v>110</v>
      </c>
      <c r="N83" s="15" t="s">
        <v>100</v>
      </c>
      <c r="O83" s="11">
        <v>3.5</v>
      </c>
      <c r="P83" s="15" t="s">
        <v>108</v>
      </c>
    </row>
    <row r="84" spans="3:16" ht="38.450000000000003" customHeight="1" thickBot="1" x14ac:dyDescent="0.3">
      <c r="C84" s="25"/>
      <c r="D84" s="30"/>
      <c r="E84" s="26"/>
      <c r="F84" s="4" t="s">
        <v>43</v>
      </c>
      <c r="G84" s="17" t="b">
        <v>0</v>
      </c>
      <c r="H84" s="16"/>
      <c r="I84" s="6" t="s">
        <v>44</v>
      </c>
      <c r="J84" s="10" cm="1">
        <f t="array" ref="J84" xml:space="preserve"> _xlfn.IFS( ISBLANK(H84),0, H84 &lt; 10, 3.5, H84=10, 3.5, TRUNC(H84/5)&lt;(H84/5), TRUNC(H84/5)*2.5 + 1,TRUNC(H84/5)=(H84/5), 3.5 + (TRUNC(H84/5)-2)*2.5)</f>
        <v>0</v>
      </c>
      <c r="M84" s="13" t="s">
        <v>111</v>
      </c>
      <c r="N84" s="15" t="s">
        <v>43</v>
      </c>
      <c r="O84" s="11">
        <v>2.5</v>
      </c>
      <c r="P84" s="15" t="s">
        <v>105</v>
      </c>
    </row>
    <row r="85" spans="3:16" ht="21.95" customHeight="1" thickTop="1" thickBot="1" x14ac:dyDescent="0.3">
      <c r="C85" s="33" t="s">
        <v>52</v>
      </c>
      <c r="D85" s="34"/>
      <c r="E85" s="34"/>
      <c r="F85" s="35"/>
      <c r="G85" s="17" t="b">
        <v>0</v>
      </c>
      <c r="H85" s="36" t="str" cm="1">
        <f t="array" ref="H85">_xlfn.IFS(G85=FALSE,"", G85=TRUE, "→")</f>
        <v/>
      </c>
      <c r="I85" s="37"/>
      <c r="J85" s="10" cm="1">
        <f t="array" ref="J85">_xlfn.IFS(G85=FALSE, 0, G85=TRUE, 10)</f>
        <v>0</v>
      </c>
      <c r="M85" s="79" t="s">
        <v>52</v>
      </c>
      <c r="N85" s="80"/>
      <c r="O85" s="11">
        <v>10</v>
      </c>
      <c r="P85" s="15" t="s">
        <v>108</v>
      </c>
    </row>
    <row r="86" spans="3:16" ht="29.65" customHeight="1" thickTop="1" thickBot="1" x14ac:dyDescent="0.3">
      <c r="C86" s="33" t="s">
        <v>62</v>
      </c>
      <c r="D86" s="34"/>
      <c r="E86" s="34"/>
      <c r="F86" s="35"/>
      <c r="G86" s="17" t="b">
        <v>0</v>
      </c>
      <c r="H86" s="16"/>
      <c r="I86" s="6" t="s">
        <v>28</v>
      </c>
      <c r="J86" s="10" cm="1">
        <f t="array" ref="J86" xml:space="preserve"> _xlfn.IFS(ISBLANK(H86),0, H86&lt;=100, 5, TRUNC(H86/100)&lt;(H86/100), TRUNC(H86/100)*5 +5,TRUNC(H86/100)=(H86/100), TRUNC(H86/100)*5)</f>
        <v>0</v>
      </c>
      <c r="M86" s="79" t="s">
        <v>112</v>
      </c>
      <c r="N86" s="80"/>
      <c r="O86" s="11">
        <v>3.5</v>
      </c>
      <c r="P86" s="15" t="s">
        <v>113</v>
      </c>
    </row>
    <row r="87" spans="3:16" ht="29.65" customHeight="1" thickTop="1" thickBot="1" x14ac:dyDescent="0.3">
      <c r="C87" s="33" t="s">
        <v>63</v>
      </c>
      <c r="D87" s="34"/>
      <c r="E87" s="34"/>
      <c r="F87" s="35"/>
      <c r="G87" s="17" t="b">
        <v>0</v>
      </c>
      <c r="H87" s="16"/>
      <c r="I87" s="6" t="s">
        <v>66</v>
      </c>
      <c r="J87" s="10" cm="1">
        <f t="array" ref="J87" xml:space="preserve"> _xlfn.IFS(ISBLANK(H87),0, H87&lt;=100, 20, TRUNC(H87/100)&lt;(H87/100), TRUNC(H87/100)*20 +20,TRUNC(H87/100)=(H87/100), TRUNC(H87/100)*20)</f>
        <v>0</v>
      </c>
      <c r="M87" s="79" t="s">
        <v>62</v>
      </c>
      <c r="N87" s="80"/>
      <c r="O87" s="11">
        <v>5</v>
      </c>
      <c r="P87" s="15" t="s">
        <v>123</v>
      </c>
    </row>
    <row r="88" spans="3:16" ht="21.95" customHeight="1" thickTop="1" thickBot="1" x14ac:dyDescent="0.3">
      <c r="C88" s="33" t="s">
        <v>64</v>
      </c>
      <c r="D88" s="34"/>
      <c r="E88" s="34"/>
      <c r="F88" s="35"/>
      <c r="G88" s="17" t="b">
        <v>0</v>
      </c>
      <c r="H88" s="36" t="str" cm="1">
        <f t="array" ref="H88">_xlfn.IFS(G88=FALSE,"", G88=TRUE, "→")</f>
        <v/>
      </c>
      <c r="I88" s="37"/>
      <c r="J88" s="10" cm="1">
        <f t="array" ref="J88">_xlfn.IFS(G88=FALSE, 0, G88=TRUE, 1)</f>
        <v>0</v>
      </c>
      <c r="M88" s="79" t="s">
        <v>63</v>
      </c>
      <c r="N88" s="80"/>
      <c r="O88" s="11">
        <v>20</v>
      </c>
      <c r="P88" s="15" t="s">
        <v>124</v>
      </c>
    </row>
    <row r="89" spans="3:16" ht="21.95" customHeight="1" thickTop="1" thickBot="1" x14ac:dyDescent="0.3">
      <c r="C89" s="33" t="s">
        <v>65</v>
      </c>
      <c r="D89" s="34"/>
      <c r="E89" s="34"/>
      <c r="F89" s="35"/>
      <c r="G89" s="17" t="b">
        <v>0</v>
      </c>
      <c r="H89" s="36" t="str" cm="1">
        <f t="array" ref="H89">_xlfn.IFS(G89=FALSE,"", G89=TRUE, "→")</f>
        <v/>
      </c>
      <c r="I89" s="37"/>
      <c r="J89" s="10" cm="1">
        <f t="array" ref="J89">_xlfn.IFS(G89=FALSE, 0, G89=TRUE, 1)</f>
        <v>0</v>
      </c>
      <c r="M89" s="79" t="s">
        <v>64</v>
      </c>
      <c r="N89" s="80"/>
      <c r="O89" s="11">
        <v>1</v>
      </c>
      <c r="P89" s="15" t="s">
        <v>125</v>
      </c>
    </row>
    <row r="90" spans="3:16" ht="20.100000000000001" customHeight="1" thickTop="1" thickBot="1" x14ac:dyDescent="0.3">
      <c r="C90" s="33" t="s">
        <v>61</v>
      </c>
      <c r="D90" s="34"/>
      <c r="E90" s="34"/>
      <c r="F90" s="35"/>
      <c r="G90" s="17" t="b">
        <v>0</v>
      </c>
      <c r="H90" s="36" t="str" cm="1">
        <f t="array" ref="H90">_xlfn.IFS(G90=FALSE,"", G90=TRUE, "→")</f>
        <v/>
      </c>
      <c r="I90" s="37"/>
      <c r="J90" s="10" cm="1">
        <f t="array" ref="J90">_xlfn.IFS(G90=FALSE, 0, G90=TRUE, 3.5)</f>
        <v>0</v>
      </c>
      <c r="M90" s="79" t="s">
        <v>65</v>
      </c>
      <c r="N90" s="80"/>
      <c r="O90" s="11">
        <v>1</v>
      </c>
      <c r="P90" s="15" t="s">
        <v>126</v>
      </c>
    </row>
    <row r="91" spans="3:16" ht="18.399999999999999" customHeight="1" thickTop="1" thickBot="1" x14ac:dyDescent="0.3">
      <c r="C91" s="33" t="s">
        <v>53</v>
      </c>
      <c r="D91" s="34"/>
      <c r="E91" s="34"/>
      <c r="F91" s="35"/>
      <c r="G91" s="17" t="b">
        <v>0</v>
      </c>
      <c r="H91" s="36" t="str" cm="1">
        <f t="array" ref="H91">_xlfn.IFS(G91=FALSE,"", G91=TRUE, "→")</f>
        <v/>
      </c>
      <c r="I91" s="37"/>
      <c r="J91" s="10" cm="1">
        <f t="array" ref="J91">_xlfn.IFS(G91=FALSE, 0, G91=TRUE, 15)</f>
        <v>0</v>
      </c>
      <c r="M91" s="79" t="s">
        <v>53</v>
      </c>
      <c r="N91" s="80"/>
      <c r="O91" s="11">
        <v>15</v>
      </c>
      <c r="P91" s="15" t="s">
        <v>114</v>
      </c>
    </row>
    <row r="92" spans="3:16" ht="47.65" customHeight="1" thickTop="1" thickBot="1" x14ac:dyDescent="0.3">
      <c r="C92" s="33" t="s">
        <v>54</v>
      </c>
      <c r="D92" s="34"/>
      <c r="E92" s="34"/>
      <c r="F92" s="35"/>
      <c r="G92" s="17" t="b">
        <v>0</v>
      </c>
      <c r="H92" s="16"/>
      <c r="I92" s="6" t="s">
        <v>55</v>
      </c>
      <c r="J92" s="10">
        <f>0.5 * H92</f>
        <v>0</v>
      </c>
      <c r="M92" s="79" t="s">
        <v>115</v>
      </c>
      <c r="N92" s="80"/>
      <c r="O92" s="11">
        <v>0.5</v>
      </c>
      <c r="P92" s="15" t="s">
        <v>116</v>
      </c>
    </row>
    <row r="93" spans="3:16" ht="23.65" customHeight="1" thickTop="1" thickBot="1" x14ac:dyDescent="0.3">
      <c r="C93" s="38" t="s">
        <v>117</v>
      </c>
      <c r="D93" s="39"/>
      <c r="E93" s="39"/>
      <c r="F93" s="39"/>
      <c r="G93" s="39"/>
      <c r="H93" s="39"/>
      <c r="I93" s="40"/>
      <c r="J93" s="5" t="s">
        <v>15</v>
      </c>
      <c r="M93" s="84" t="s">
        <v>117</v>
      </c>
      <c r="N93" s="85"/>
      <c r="O93" s="85"/>
      <c r="P93" s="86"/>
    </row>
    <row r="94" spans="3:16" ht="23.1" customHeight="1" thickTop="1" thickBot="1" x14ac:dyDescent="0.3">
      <c r="C94" s="23" t="s">
        <v>67</v>
      </c>
      <c r="D94" s="29"/>
      <c r="E94" s="24"/>
      <c r="F94" s="4" t="s">
        <v>42</v>
      </c>
      <c r="G94" s="17" t="b">
        <v>0</v>
      </c>
      <c r="H94" s="36" t="str" cm="1">
        <f t="array" ref="H94">_xlfn.IFS(G94=FALSE,"", G94=TRUE, "→")</f>
        <v/>
      </c>
      <c r="I94" s="37"/>
      <c r="J94" s="10" cm="1">
        <f t="array" ref="J94">_xlfn.IFS(G94=FALSE, 0, G94=TRUE, 2.5)</f>
        <v>0</v>
      </c>
      <c r="M94" s="87" t="s">
        <v>80</v>
      </c>
      <c r="N94" s="88"/>
      <c r="O94" s="87" t="s">
        <v>81</v>
      </c>
      <c r="P94" s="88"/>
    </row>
    <row r="95" spans="3:16" ht="22.35" customHeight="1" thickTop="1" thickBot="1" x14ac:dyDescent="0.3">
      <c r="C95" s="25"/>
      <c r="D95" s="30"/>
      <c r="E95" s="26"/>
      <c r="F95" s="4" t="s">
        <v>43</v>
      </c>
      <c r="G95" s="17" t="b">
        <v>0</v>
      </c>
      <c r="H95" s="16"/>
      <c r="I95" s="6" t="s">
        <v>44</v>
      </c>
      <c r="J95" s="10" cm="1">
        <f t="array" ref="J95" xml:space="preserve"> _xlfn.IFS( ISBLANK(H95),0, H95 &lt; 5, 1.5, TRUNC(H95/5)&lt;(H95/5), TRUNC(H95/5)*1.5 + 1.5,TRUNC(H95/5)=(H95/5), TRUNC(H95/5)*1.5)</f>
        <v>0</v>
      </c>
      <c r="M95" s="81" t="s">
        <v>67</v>
      </c>
      <c r="N95" s="15" t="s">
        <v>100</v>
      </c>
      <c r="O95" s="11">
        <v>2.5</v>
      </c>
      <c r="P95" s="15" t="s">
        <v>108</v>
      </c>
    </row>
    <row r="96" spans="3:16" ht="20.100000000000001" customHeight="1" thickBot="1" x14ac:dyDescent="0.3">
      <c r="C96" s="33" t="s">
        <v>68</v>
      </c>
      <c r="D96" s="34"/>
      <c r="E96" s="34"/>
      <c r="F96" s="35"/>
      <c r="G96" s="17" t="b">
        <v>0</v>
      </c>
      <c r="H96" s="18"/>
      <c r="I96" s="2" t="s">
        <v>72</v>
      </c>
      <c r="J96" s="10">
        <f>20 * H96</f>
        <v>0</v>
      </c>
      <c r="M96" s="82"/>
      <c r="N96" s="15" t="s">
        <v>43</v>
      </c>
      <c r="O96" s="11">
        <v>1.5</v>
      </c>
      <c r="P96" s="15" t="s">
        <v>102</v>
      </c>
    </row>
    <row r="97" spans="3:16" ht="29.65" customHeight="1" thickTop="1" thickBot="1" x14ac:dyDescent="0.3">
      <c r="C97" s="33" t="s">
        <v>74</v>
      </c>
      <c r="D97" s="34"/>
      <c r="E97" s="34"/>
      <c r="F97" s="35"/>
      <c r="G97" s="17" t="b">
        <v>0</v>
      </c>
      <c r="H97" s="18"/>
      <c r="I97" s="2" t="s">
        <v>73</v>
      </c>
      <c r="J97" s="10">
        <f xml:space="preserve"> H97 * 7</f>
        <v>0</v>
      </c>
      <c r="M97" s="79" t="s">
        <v>68</v>
      </c>
      <c r="N97" s="80"/>
      <c r="O97" s="11">
        <v>20</v>
      </c>
      <c r="P97" s="15" t="s">
        <v>119</v>
      </c>
    </row>
    <row r="98" spans="3:16" ht="20.100000000000001" customHeight="1" thickTop="1" thickBot="1" x14ac:dyDescent="0.3">
      <c r="C98" s="33" t="s">
        <v>71</v>
      </c>
      <c r="D98" s="34"/>
      <c r="E98" s="34"/>
      <c r="F98" s="35"/>
      <c r="G98" s="17" t="b">
        <v>0</v>
      </c>
      <c r="H98" s="16"/>
      <c r="I98" s="6" t="s">
        <v>75</v>
      </c>
      <c r="J98" s="10" cm="1">
        <f t="array" ref="J98" xml:space="preserve"> _xlfn.IFS(ISBLANK(H98),0, H98&lt;=100, 1, TRUNC(H98/100)&lt;(H98/100), TRUNC(H98/100) +1,TRUNC(H98/100)=(H98/100), TRUNC(H98/100)*1)</f>
        <v>0</v>
      </c>
      <c r="M98" s="79" t="s">
        <v>118</v>
      </c>
      <c r="N98" s="80"/>
      <c r="O98" s="11">
        <v>7</v>
      </c>
      <c r="P98" s="15" t="s">
        <v>120</v>
      </c>
    </row>
    <row r="99" spans="3:16" ht="22.35" customHeight="1" thickTop="1" thickBot="1" x14ac:dyDescent="0.3">
      <c r="C99" s="33" t="s">
        <v>70</v>
      </c>
      <c r="D99" s="34"/>
      <c r="E99" s="34"/>
      <c r="F99" s="35"/>
      <c r="G99" s="17" t="b">
        <v>0</v>
      </c>
      <c r="H99" s="16"/>
      <c r="I99" s="6" t="s">
        <v>75</v>
      </c>
      <c r="J99" s="10" cm="1">
        <f t="array" ref="J99" xml:space="preserve"> _xlfn.IFS(ISBLANK(H99),0, H99&lt;=100, 2, TRUNC(H99/100)&lt;(H99/100), TRUNC(H99/100)*2 + 2,TRUNC(H99/100)=(H99/100), TRUNC(H99/100)*2)</f>
        <v>0</v>
      </c>
      <c r="M99" s="79" t="s">
        <v>69</v>
      </c>
      <c r="N99" s="80"/>
      <c r="O99" s="79" t="s">
        <v>121</v>
      </c>
      <c r="P99" s="80"/>
    </row>
    <row r="100" spans="3:16" ht="25.5" thickTop="1" thickBot="1" x14ac:dyDescent="0.3">
      <c r="M100" s="79" t="s">
        <v>71</v>
      </c>
      <c r="N100" s="80"/>
      <c r="O100" s="11">
        <v>1</v>
      </c>
      <c r="P100" s="15" t="s">
        <v>122</v>
      </c>
    </row>
    <row r="101" spans="3:16" ht="25.5" thickTop="1" thickBot="1" x14ac:dyDescent="0.3">
      <c r="M101" s="79" t="s">
        <v>70</v>
      </c>
      <c r="N101" s="80"/>
      <c r="O101" s="11">
        <v>2</v>
      </c>
      <c r="P101" s="15" t="s">
        <v>122</v>
      </c>
    </row>
    <row r="102" spans="3:16" ht="19.5" thickTop="1" x14ac:dyDescent="0.25">
      <c r="C102" s="32" t="s">
        <v>2</v>
      </c>
      <c r="D102" s="32"/>
      <c r="E102" s="32"/>
      <c r="F102" s="32"/>
      <c r="G102" s="32"/>
      <c r="H102" s="32"/>
      <c r="I102" s="32"/>
      <c r="J102" s="32"/>
    </row>
    <row r="105" spans="3:16" ht="14.45" customHeight="1" x14ac:dyDescent="0.25">
      <c r="D105" s="41"/>
      <c r="E105" s="41"/>
      <c r="F105" s="41"/>
      <c r="G105" s="41"/>
      <c r="H105" s="41"/>
      <c r="I105" s="42" t="s">
        <v>135</v>
      </c>
      <c r="J105" s="43"/>
    </row>
    <row r="106" spans="3:16" x14ac:dyDescent="0.25">
      <c r="E106" s="8" t="s">
        <v>3</v>
      </c>
      <c r="I106" s="8" t="s">
        <v>4</v>
      </c>
    </row>
    <row r="108" spans="3:16" ht="15.75" thickBot="1" x14ac:dyDescent="0.3"/>
    <row r="109" spans="3:16" ht="49.35" customHeight="1" thickBot="1" x14ac:dyDescent="0.3">
      <c r="C109" s="20" t="s">
        <v>59</v>
      </c>
      <c r="D109" s="21"/>
      <c r="E109" s="21"/>
      <c r="F109" s="21"/>
      <c r="G109" s="21"/>
      <c r="H109" s="22"/>
      <c r="I109" s="20" t="s">
        <v>60</v>
      </c>
      <c r="J109" s="22"/>
    </row>
    <row r="110" spans="3:16" x14ac:dyDescent="0.25">
      <c r="C110" s="23"/>
      <c r="D110" s="29"/>
      <c r="E110" s="29"/>
      <c r="F110" s="29"/>
      <c r="G110" s="29"/>
      <c r="H110" s="24"/>
      <c r="I110" s="23"/>
      <c r="J110" s="24"/>
    </row>
    <row r="111" spans="3:16" x14ac:dyDescent="0.25">
      <c r="C111" s="25"/>
      <c r="D111" s="30"/>
      <c r="E111" s="30"/>
      <c r="F111" s="30"/>
      <c r="G111" s="30"/>
      <c r="H111" s="26"/>
      <c r="I111" s="25"/>
      <c r="J111" s="26"/>
    </row>
    <row r="112" spans="3:16" ht="15.75" thickBot="1" x14ac:dyDescent="0.3">
      <c r="C112" s="27"/>
      <c r="D112" s="31"/>
      <c r="E112" s="31"/>
      <c r="F112" s="31"/>
      <c r="G112" s="31"/>
      <c r="H112" s="28"/>
      <c r="I112" s="27"/>
      <c r="J112" s="28"/>
    </row>
    <row r="113" s="1" customFormat="1" x14ac:dyDescent="0.25"/>
  </sheetData>
  <sheetProtection sheet="1"/>
  <protectedRanges>
    <protectedRange sqref="D105:J105" name="Plage3"/>
    <protectedRange sqref="I105:J105 D105:G105" name="Plage1"/>
    <protectedRange sqref="C110:J112" name="Plage2"/>
  </protectedRanges>
  <mergeCells count="157">
    <mergeCell ref="E25:H25"/>
    <mergeCell ref="M100:N100"/>
    <mergeCell ref="M101:N101"/>
    <mergeCell ref="O99:P99"/>
    <mergeCell ref="M97:N97"/>
    <mergeCell ref="M95:M96"/>
    <mergeCell ref="M93:P93"/>
    <mergeCell ref="M94:N94"/>
    <mergeCell ref="O94:P94"/>
    <mergeCell ref="O41:P41"/>
    <mergeCell ref="M42:N42"/>
    <mergeCell ref="M43:N43"/>
    <mergeCell ref="M44:N44"/>
    <mergeCell ref="M46:N46"/>
    <mergeCell ref="M47:N47"/>
    <mergeCell ref="M92:N92"/>
    <mergeCell ref="M98:N98"/>
    <mergeCell ref="M99:N99"/>
    <mergeCell ref="M49:N49"/>
    <mergeCell ref="M50:N50"/>
    <mergeCell ref="M87:N87"/>
    <mergeCell ref="M88:N88"/>
    <mergeCell ref="M89:N89"/>
    <mergeCell ref="M90:N90"/>
    <mergeCell ref="M36:P36"/>
    <mergeCell ref="M4:Q23"/>
    <mergeCell ref="M71:M72"/>
    <mergeCell ref="M73:M74"/>
    <mergeCell ref="M75:M76"/>
    <mergeCell ref="M77:M78"/>
    <mergeCell ref="M79:M80"/>
    <mergeCell ref="M64:P64"/>
    <mergeCell ref="M65:N65"/>
    <mergeCell ref="O65:P65"/>
    <mergeCell ref="M66:N66"/>
    <mergeCell ref="M67:M68"/>
    <mergeCell ref="M37:P37"/>
    <mergeCell ref="M38:N38"/>
    <mergeCell ref="O38:P38"/>
    <mergeCell ref="M39:N39"/>
    <mergeCell ref="M40:P40"/>
    <mergeCell ref="M41:N41"/>
    <mergeCell ref="M45:N45"/>
    <mergeCell ref="M85:N85"/>
    <mergeCell ref="M86:N86"/>
    <mergeCell ref="M91:N91"/>
    <mergeCell ref="M56:N56"/>
    <mergeCell ref="M57:N57"/>
    <mergeCell ref="M58:M60"/>
    <mergeCell ref="M61:M63"/>
    <mergeCell ref="M51:N51"/>
    <mergeCell ref="M53:P53"/>
    <mergeCell ref="M54:N54"/>
    <mergeCell ref="O54:P54"/>
    <mergeCell ref="M55:N55"/>
    <mergeCell ref="M52:N52"/>
    <mergeCell ref="M3:Q3"/>
    <mergeCell ref="C96:F96"/>
    <mergeCell ref="C99:F99"/>
    <mergeCell ref="C97:F97"/>
    <mergeCell ref="C98:F98"/>
    <mergeCell ref="C93:I93"/>
    <mergeCell ref="C94:E95"/>
    <mergeCell ref="H94:I94"/>
    <mergeCell ref="C89:F89"/>
    <mergeCell ref="C88:F88"/>
    <mergeCell ref="C87:F87"/>
    <mergeCell ref="C86:F86"/>
    <mergeCell ref="H88:I88"/>
    <mergeCell ref="H89:I89"/>
    <mergeCell ref="C18:J20"/>
    <mergeCell ref="C14:J15"/>
    <mergeCell ref="C22:J24"/>
    <mergeCell ref="A1:E9"/>
    <mergeCell ref="C28:J28"/>
    <mergeCell ref="F31:J31"/>
    <mergeCell ref="F30:J30"/>
    <mergeCell ref="C29:J29"/>
    <mergeCell ref="M48:N48"/>
    <mergeCell ref="M81:M82"/>
    <mergeCell ref="C30:E30"/>
    <mergeCell ref="C31:E31"/>
    <mergeCell ref="C32:J32"/>
    <mergeCell ref="C33:E33"/>
    <mergeCell ref="C34:E34"/>
    <mergeCell ref="C35:E35"/>
    <mergeCell ref="C36:E36"/>
    <mergeCell ref="F33:J33"/>
    <mergeCell ref="F34:J34"/>
    <mergeCell ref="F35:J35"/>
    <mergeCell ref="F36:J36"/>
    <mergeCell ref="H63:I63"/>
    <mergeCell ref="C37:F37"/>
    <mergeCell ref="G37:J37"/>
    <mergeCell ref="C40:I40"/>
    <mergeCell ref="C41:G41"/>
    <mergeCell ref="H41:I41"/>
    <mergeCell ref="J40:J41"/>
    <mergeCell ref="C56:F56"/>
    <mergeCell ref="C42:F42"/>
    <mergeCell ref="C51:F51"/>
    <mergeCell ref="C53:F53"/>
    <mergeCell ref="C49:F49"/>
    <mergeCell ref="C48:F48"/>
    <mergeCell ref="C47:F47"/>
    <mergeCell ref="C46:F46"/>
    <mergeCell ref="C45:F45"/>
    <mergeCell ref="C43:F43"/>
    <mergeCell ref="C54:I54"/>
    <mergeCell ref="C55:G55"/>
    <mergeCell ref="H55:I55"/>
    <mergeCell ref="C52:F52"/>
    <mergeCell ref="H53:I53"/>
    <mergeCell ref="H67:I67"/>
    <mergeCell ref="C69:E70"/>
    <mergeCell ref="H69:I69"/>
    <mergeCell ref="C71:E72"/>
    <mergeCell ref="H71:I71"/>
    <mergeCell ref="C65:I65"/>
    <mergeCell ref="D105:H105"/>
    <mergeCell ref="I105:J105"/>
    <mergeCell ref="C79:E80"/>
    <mergeCell ref="H79:I79"/>
    <mergeCell ref="C81:E82"/>
    <mergeCell ref="H81:I81"/>
    <mergeCell ref="C83:E84"/>
    <mergeCell ref="H83:I83"/>
    <mergeCell ref="C73:E74"/>
    <mergeCell ref="H73:I73"/>
    <mergeCell ref="C75:E76"/>
    <mergeCell ref="H75:I75"/>
    <mergeCell ref="C77:E78"/>
    <mergeCell ref="H77:I77"/>
    <mergeCell ref="C109:H109"/>
    <mergeCell ref="I109:J109"/>
    <mergeCell ref="I110:J112"/>
    <mergeCell ref="C110:H112"/>
    <mergeCell ref="C102:J102"/>
    <mergeCell ref="C44:F44"/>
    <mergeCell ref="C50:F50"/>
    <mergeCell ref="C92:F92"/>
    <mergeCell ref="C91:F91"/>
    <mergeCell ref="C90:F90"/>
    <mergeCell ref="C85:F85"/>
    <mergeCell ref="H85:I85"/>
    <mergeCell ref="H90:I90"/>
    <mergeCell ref="H91:I91"/>
    <mergeCell ref="C57:F57"/>
    <mergeCell ref="H57:I57"/>
    <mergeCell ref="C58:F58"/>
    <mergeCell ref="H59:I59"/>
    <mergeCell ref="H60:I60"/>
    <mergeCell ref="C59:E61"/>
    <mergeCell ref="C62:E64"/>
    <mergeCell ref="H62:I62"/>
    <mergeCell ref="C66:F66"/>
    <mergeCell ref="C67:E68"/>
  </mergeCells>
  <conditionalFormatting sqref="A36:K39 M36:P101 J40:K40 A40:C59 H41 K41:K53 G42:I50 G51:H53 J54:K55 H55 G56:H58 K56:K64 F59:H64 A60:B65 C62 C65 J65:K65 G66:H66 A66:C67 K66:K92 F67:H84 A68:B84 C69 C71 C73 C75 C77 C79 C81 C83 G85:H92 A85:C94 J93:K93 F94:H95 K94:K99 A95:B99 G96:I97 C96:C99 G98:H99 A100:K101 A102:C102 K102 A103:K104 A105:D105 K105 A106:K108 A109:C110 I109:I110 K109:K112 A111:B112 A113:K146 A147:G212 A213:K418">
    <cfRule type="cellIs" dxfId="0" priority="3" operator="equal">
      <formula>TRUE</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Feuil1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Khaled HAJJAR</dc:creator>
  <cp:lastModifiedBy>Vanessa Draut</cp:lastModifiedBy>
  <dcterms:created xsi:type="dcterms:W3CDTF">2025-01-30T13:31:21Z</dcterms:created>
  <dcterms:modified xsi:type="dcterms:W3CDTF">2025-04-24T08:51:53Z</dcterms:modified>
</cp:coreProperties>
</file>